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<sst xmlns="http://schemas.openxmlformats.org/spreadsheetml/2006/main" count="166" uniqueCount="119">
  <si>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</si>
  <si>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</si>
  <si>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</si>
  <si>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</si>
  <si>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</si>
  <si>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</si>
  <si>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</si>
  <si>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</si>
  <si>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</si>
  <si>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</si>
  <si>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</si>
  <si>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</si>
  <si>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</si>
  <si>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</si>
  <si>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</si>
  <si>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</si>
  <si>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</si>
  <si>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</si>
  <si>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</si>
  <si>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</si>
  <si>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</si>
  <si>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</si>
  <si>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</si>
  <si>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</si>
  <si>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</si>
  <si>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</si>
  <si>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</si>
  <si>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</si>
  <si>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</si>
  <si>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</si>
  <si>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</si>
  <si>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</si>
  <si>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</si>
  <si>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</si>
  <si>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</si>
  <si>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</si>
  <si>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</si>
  <si>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</si>
  <si>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</si>
  <si>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</si>
  <si>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</si>
  <si>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</si>
  <si>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</si>
  <si>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</si>
  <si>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</si>
  <si>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</si>
  <si>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</si>
  <si>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</si>
  <si>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</si>
  <si>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</si>
  <si>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</si>
  <si>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</si>
  <si>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</si>
  <si>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</si>
  <si>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</si>
  <si>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</si>
  <si>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</si>
  <si>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</si>
  <si>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</si>
  <si>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</si>
  <si>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</si>
  <si>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</si>
  <si>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</si>
  <si>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</si>
  <si>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</si>
  <si>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</si>
  <si>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</si>
  <si>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</si>
  <si>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</si>
  <si>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</si>
  <si>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</si>
  <si>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</si>
  <si>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</si>
  <si>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</si>
  <si>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</si>
  <si>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</si>
  <si>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</si>
  <si>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</si>
  <si>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</si>
  <si>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</si>
  <si>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</si>
  <si>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</si>
  <si>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</si>
  <si>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</si>
  <si>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</si>
  <si>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</si>
  <si>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</si>
  <si>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</si>
  <si>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</si>
  <si>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</si>
  <si>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</si>
  <si>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</si>
  <si>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</si>
  <si>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</si>
  <si>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</si>
  <si>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</si>
  <si>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</si>
  <si>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</si>
  <si>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</si>
  <si>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</si>
  <si>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</si>
  <si>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</si>
  <si>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</si>
  <si>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Реверсна дотація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</si>
  <si>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</si>
  <si>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</si>
  <si>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</si>
  <si>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</si>
  <si>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</si>
  <si>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Дорожній фонд</t>
  </si>
  <si>
    <t>в т.ч. енергоносії</t>
  </si>
  <si>
    <t>Екологічний фонд</t>
  </si>
  <si>
    <t>Програма підтримки обороноздатності м. Черкаси</t>
  </si>
  <si>
    <t>Програма підтримки учасників антитерористичної операції</t>
  </si>
  <si>
    <t>Субвенція державному бьюджету на виконання програм соціально-економічного та культурного розвитку регіонів</t>
  </si>
  <si>
    <t>План на 1 півріччя, тис.грн.</t>
  </si>
  <si>
    <t>Відсоток виконання плану 1-го півріччя</t>
  </si>
  <si>
    <t>Відхилення від плану 1-го півріччя, тис.грн.</t>
  </si>
  <si>
    <t>Аналіз використання коштів міського бюджету за 2015 рік станом на 15.06.2015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</si>
</sst>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48744.1</c:v>
                </c:pt>
                <c:pt idx="1">
                  <c:v>39638</c:v>
                </c:pt>
                <c:pt idx="2">
                  <c:v>2575.1</c:v>
                </c:pt>
                <c:pt idx="3">
                  <c:v>6530.999999999998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16613.699999999993</c:v>
                </c:pt>
                <c:pt idx="1">
                  <c:v>14273.000000000002</c:v>
                </c:pt>
                <c:pt idx="2">
                  <c:v>589.3999999999999</c:v>
                </c:pt>
                <c:pt idx="3">
                  <c:v>1751.2999999999918</c:v>
                </c:pt>
              </c:numCache>
            </c:numRef>
          </c:val>
          <c:shape val="box"/>
        </c:ser>
        <c:shape val="box"/>
        <c:axId val="46101146"/>
        <c:axId val="12257131"/>
      </c:bar3DChart>
      <c:catAx>
        <c:axId val="46101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257131"/>
        <c:crosses val="autoZero"/>
        <c:auto val="1"/>
        <c:lblOffset val="100"/>
        <c:tickLblSkip val="1"/>
        <c:noMultiLvlLbl val="0"/>
      </c:catAx>
      <c:valAx>
        <c:axId val="122571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011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339510.69999999995</c:v>
                </c:pt>
                <c:pt idx="1">
                  <c:v>173936.4</c:v>
                </c:pt>
                <c:pt idx="2">
                  <c:v>251964.7</c:v>
                </c:pt>
                <c:pt idx="3">
                  <c:v>45.2</c:v>
                </c:pt>
                <c:pt idx="4">
                  <c:v>22109.6</c:v>
                </c:pt>
                <c:pt idx="5">
                  <c:v>61405.899999999994</c:v>
                </c:pt>
                <c:pt idx="6">
                  <c:v>286.2</c:v>
                </c:pt>
                <c:pt idx="7">
                  <c:v>3699.099999999952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125062.50000000001</c:v>
                </c:pt>
                <c:pt idx="1">
                  <c:v>59640.69999999998</c:v>
                </c:pt>
                <c:pt idx="2">
                  <c:v>87029.8</c:v>
                </c:pt>
                <c:pt idx="3">
                  <c:v>2</c:v>
                </c:pt>
                <c:pt idx="4">
                  <c:v>7146.299999999999</c:v>
                </c:pt>
                <c:pt idx="5">
                  <c:v>29597.1</c:v>
                </c:pt>
                <c:pt idx="6">
                  <c:v>52.8</c:v>
                </c:pt>
                <c:pt idx="7">
                  <c:v>1234.5000000000139</c:v>
                </c:pt>
              </c:numCache>
            </c:numRef>
          </c:val>
          <c:shape val="box"/>
        </c:ser>
        <c:shape val="box"/>
        <c:axId val="43205316"/>
        <c:axId val="53303525"/>
      </c:bar3DChart>
      <c:catAx>
        <c:axId val="43205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303525"/>
        <c:crosses val="autoZero"/>
        <c:auto val="1"/>
        <c:lblOffset val="100"/>
        <c:tickLblSkip val="1"/>
        <c:noMultiLvlLbl val="0"/>
      </c:catAx>
      <c:valAx>
        <c:axId val="533035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053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226686.90000000002</c:v>
                </c:pt>
                <c:pt idx="1">
                  <c:v>186519.2</c:v>
                </c:pt>
                <c:pt idx="2">
                  <c:v>169195.9</c:v>
                </c:pt>
                <c:pt idx="3">
                  <c:v>12491.1</c:v>
                </c:pt>
                <c:pt idx="4">
                  <c:v>3253.3</c:v>
                </c:pt>
                <c:pt idx="5">
                  <c:v>25194.2</c:v>
                </c:pt>
                <c:pt idx="6">
                  <c:v>1528.1</c:v>
                </c:pt>
                <c:pt idx="7">
                  <c:v>15024.300000000027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77078.2</c:v>
                </c:pt>
                <c:pt idx="1">
                  <c:v>69872.09999999999</c:v>
                </c:pt>
                <c:pt idx="2">
                  <c:v>59747.99999999998</c:v>
                </c:pt>
                <c:pt idx="3">
                  <c:v>2486.5999999999995</c:v>
                </c:pt>
                <c:pt idx="4">
                  <c:v>1084.2</c:v>
                </c:pt>
                <c:pt idx="5">
                  <c:v>9077.2</c:v>
                </c:pt>
                <c:pt idx="6">
                  <c:v>515.5999999999999</c:v>
                </c:pt>
                <c:pt idx="7">
                  <c:v>4166.600000000019</c:v>
                </c:pt>
              </c:numCache>
            </c:numRef>
          </c:val>
          <c:shape val="box"/>
        </c:ser>
        <c:shape val="box"/>
        <c:axId val="9969678"/>
        <c:axId val="22618239"/>
      </c:bar3DChart>
      <c:catAx>
        <c:axId val="9969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618239"/>
        <c:crosses val="autoZero"/>
        <c:auto val="1"/>
        <c:lblOffset val="100"/>
        <c:tickLblSkip val="1"/>
        <c:noMultiLvlLbl val="0"/>
      </c:catAx>
      <c:valAx>
        <c:axId val="226182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696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42246.299999999996</c:v>
                </c:pt>
                <c:pt idx="1">
                  <c:v>29626.4</c:v>
                </c:pt>
                <c:pt idx="2">
                  <c:v>2674</c:v>
                </c:pt>
                <c:pt idx="3">
                  <c:v>515.5</c:v>
                </c:pt>
                <c:pt idx="4">
                  <c:v>47.2</c:v>
                </c:pt>
                <c:pt idx="5">
                  <c:v>9383.199999999993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15838.699999999995</c:v>
                </c:pt>
                <c:pt idx="1">
                  <c:v>10734.200000000003</c:v>
                </c:pt>
                <c:pt idx="2">
                  <c:v>1216.9</c:v>
                </c:pt>
                <c:pt idx="3">
                  <c:v>170.8</c:v>
                </c:pt>
                <c:pt idx="4">
                  <c:v>17</c:v>
                </c:pt>
                <c:pt idx="5">
                  <c:v>3699.7999999999925</c:v>
                </c:pt>
              </c:numCache>
            </c:numRef>
          </c:val>
          <c:shape val="box"/>
        </c:ser>
        <c:shape val="box"/>
        <c:axId val="2237560"/>
        <c:axId val="20138041"/>
      </c:bar3DChart>
      <c:catAx>
        <c:axId val="2237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138041"/>
        <c:crosses val="autoZero"/>
        <c:auto val="1"/>
        <c:lblOffset val="100"/>
        <c:tickLblSkip val="1"/>
        <c:noMultiLvlLbl val="0"/>
      </c:catAx>
      <c:valAx>
        <c:axId val="201380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75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1575"/>
          <c:y val="0.029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14207.7</c:v>
                </c:pt>
                <c:pt idx="1">
                  <c:v>8729.1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4493.500000000001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4862.9</c:v>
                </c:pt>
                <c:pt idx="1">
                  <c:v>2933.8999999999996</c:v>
                </c:pt>
                <c:pt idx="3">
                  <c:v>61.2</c:v>
                </c:pt>
                <c:pt idx="4">
                  <c:v>377.9000000000001</c:v>
                </c:pt>
                <c:pt idx="5">
                  <c:v>1489.8999999999999</c:v>
                </c:pt>
              </c:numCache>
            </c:numRef>
          </c:val>
          <c:shape val="box"/>
        </c:ser>
        <c:shape val="box"/>
        <c:axId val="47024642"/>
        <c:axId val="20568595"/>
      </c:bar3DChart>
      <c:catAx>
        <c:axId val="47024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568595"/>
        <c:crosses val="autoZero"/>
        <c:auto val="1"/>
        <c:lblOffset val="100"/>
        <c:tickLblSkip val="2"/>
        <c:noMultiLvlLbl val="0"/>
      </c:catAx>
      <c:valAx>
        <c:axId val="205685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246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5"/>
                <c:pt idx="0">
                  <c:v>5525</c:v>
                </c:pt>
                <c:pt idx="1">
                  <c:v>1426.1</c:v>
                </c:pt>
                <c:pt idx="2">
                  <c:v>464.8</c:v>
                </c:pt>
                <c:pt idx="3">
                  <c:v>3128.9</c:v>
                </c:pt>
                <c:pt idx="4">
                  <c:v>505.19999999999936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5"/>
                <c:pt idx="0">
                  <c:v>760.0999999999998</c:v>
                </c:pt>
                <c:pt idx="1">
                  <c:v>481.4</c:v>
                </c:pt>
                <c:pt idx="2">
                  <c:v>228.9</c:v>
                </c:pt>
                <c:pt idx="4">
                  <c:v>49.79999999999981</c:v>
                </c:pt>
              </c:numCache>
            </c:numRef>
          </c:val>
          <c:shape val="box"/>
        </c:ser>
        <c:shape val="box"/>
        <c:axId val="50899628"/>
        <c:axId val="55443469"/>
      </c:bar3DChart>
      <c:catAx>
        <c:axId val="50899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443469"/>
        <c:crosses val="autoZero"/>
        <c:auto val="1"/>
        <c:lblOffset val="100"/>
        <c:tickLblSkip val="1"/>
        <c:noMultiLvlLbl val="0"/>
      </c:catAx>
      <c:valAx>
        <c:axId val="554434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996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50114.3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22644</c:v>
                </c:pt>
              </c:numCache>
            </c:numRef>
          </c:val>
          <c:shape val="box"/>
        </c:ser>
        <c:shape val="box"/>
        <c:axId val="29229174"/>
        <c:axId val="61735975"/>
      </c:bar3DChart>
      <c:catAx>
        <c:axId val="29229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735975"/>
        <c:crosses val="autoZero"/>
        <c:auto val="1"/>
        <c:lblOffset val="100"/>
        <c:tickLblSkip val="1"/>
        <c:noMultiLvlLbl val="0"/>
      </c:catAx>
      <c:valAx>
        <c:axId val="617359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291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339510.69999999995</c:v>
                </c:pt>
                <c:pt idx="1">
                  <c:v>226686.90000000002</c:v>
                </c:pt>
                <c:pt idx="2">
                  <c:v>42246.299999999996</c:v>
                </c:pt>
                <c:pt idx="3">
                  <c:v>14207.7</c:v>
                </c:pt>
                <c:pt idx="4">
                  <c:v>5525</c:v>
                </c:pt>
                <c:pt idx="5">
                  <c:v>48744.1</c:v>
                </c:pt>
                <c:pt idx="6">
                  <c:v>50114.3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125062.50000000001</c:v>
                </c:pt>
                <c:pt idx="1">
                  <c:v>77078.2</c:v>
                </c:pt>
                <c:pt idx="2">
                  <c:v>15838.699999999995</c:v>
                </c:pt>
                <c:pt idx="3">
                  <c:v>4862.9</c:v>
                </c:pt>
                <c:pt idx="4">
                  <c:v>760.0999999999998</c:v>
                </c:pt>
                <c:pt idx="5">
                  <c:v>16613.699999999993</c:v>
                </c:pt>
                <c:pt idx="6">
                  <c:v>22644</c:v>
                </c:pt>
              </c:numCache>
            </c:numRef>
          </c:val>
          <c:shape val="box"/>
        </c:ser>
        <c:shape val="box"/>
        <c:axId val="18752864"/>
        <c:axId val="34558049"/>
      </c:bar3DChart>
      <c:catAx>
        <c:axId val="18752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558049"/>
        <c:crosses val="autoZero"/>
        <c:auto val="1"/>
        <c:lblOffset val="100"/>
        <c:tickLblSkip val="1"/>
        <c:noMultiLvlLbl val="0"/>
      </c:catAx>
      <c:valAx>
        <c:axId val="345580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528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фінансування'!$C$145:$C$150</c:f>
              <c:numCache>
                <c:ptCount val="6"/>
                <c:pt idx="0">
                  <c:v>507335.6</c:v>
                </c:pt>
                <c:pt idx="1">
                  <c:v>99330.7</c:v>
                </c:pt>
                <c:pt idx="2">
                  <c:v>25686.8</c:v>
                </c:pt>
                <c:pt idx="3">
                  <c:v>14593.8</c:v>
                </c:pt>
                <c:pt idx="4">
                  <c:v>12618.400000000001</c:v>
                </c:pt>
                <c:pt idx="5">
                  <c:v>236617.4000000001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фінансування'!$D$145:$D$150</c:f>
              <c:numCache>
                <c:ptCount val="6"/>
                <c:pt idx="0">
                  <c:v>177599.8</c:v>
                </c:pt>
                <c:pt idx="1">
                  <c:v>43387.50000000001</c:v>
                </c:pt>
                <c:pt idx="2">
                  <c:v>8313.1</c:v>
                </c:pt>
                <c:pt idx="3">
                  <c:v>2284.7999999999997</c:v>
                </c:pt>
                <c:pt idx="4">
                  <c:v>2488.8999999999996</c:v>
                </c:pt>
                <c:pt idx="5">
                  <c:v>93751.29999999997</c:v>
                </c:pt>
              </c:numCache>
            </c:numRef>
          </c:val>
          <c:shape val="box"/>
        </c:ser>
        <c:shape val="box"/>
        <c:axId val="42586986"/>
        <c:axId val="47738555"/>
      </c:bar3DChart>
      <c:catAx>
        <c:axId val="42586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738555"/>
        <c:crosses val="autoZero"/>
        <c:auto val="1"/>
        <c:lblOffset val="100"/>
        <c:tickLblSkip val="1"/>
        <c:noMultiLvlLbl val="0"/>
      </c:catAx>
      <c:valAx>
        <c:axId val="477385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869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118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50</v>
      </c>
      <c r="B3" s="138" t="s">
        <v>115</v>
      </c>
      <c r="C3" s="138" t="s">
        <v>104</v>
      </c>
      <c r="D3" s="138" t="s">
        <v>29</v>
      </c>
      <c r="E3" s="138" t="s">
        <v>28</v>
      </c>
      <c r="F3" s="138" t="s">
        <v>116</v>
      </c>
      <c r="G3" s="138" t="s">
        <v>105</v>
      </c>
      <c r="H3" s="138" t="s">
        <v>117</v>
      </c>
      <c r="I3" s="138" t="s">
        <v>106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34</v>
      </c>
      <c r="B6" s="52">
        <v>189869.7</v>
      </c>
      <c r="C6" s="53">
        <f>336144.8+1363.8+2002.1</f>
        <v>339510.69999999995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</f>
        <v>171656.60000000006</v>
      </c>
      <c r="E6" s="3">
        <f>D6/D144*100</f>
        <v>41.17782523234053</v>
      </c>
      <c r="F6" s="3">
        <f>D6/B6*100</f>
        <v>90.40757951374025</v>
      </c>
      <c r="G6" s="3">
        <f aca="true" t="shared" si="0" ref="G6:G43">D6/C6*100</f>
        <v>50.55999707814808</v>
      </c>
      <c r="H6" s="3">
        <f>B6-D6</f>
        <v>18213.099999999948</v>
      </c>
      <c r="I6" s="3">
        <f aca="true" t="shared" si="1" ref="I6:I43">C6-D6</f>
        <v>167854.0999999999</v>
      </c>
    </row>
    <row r="7" spans="1:9" s="44" customFormat="1" ht="18.75">
      <c r="A7" s="118" t="s">
        <v>107</v>
      </c>
      <c r="B7" s="109">
        <v>95484.3</v>
      </c>
      <c r="C7" s="106">
        <v>173936.4</v>
      </c>
      <c r="D7" s="119">
        <f>17278.1+34.8+43.3+5046.6+1441.7+293+463.5+4876.3+308.3+631.3+5138.7+0.1+2292.2+271.4+1820.7+4384.3+517.1+3867.2+3165+1+5.9+6161.5+1598.7+8.6+1158.9+4225.2+4271.2+0.1+579.2+45.1+9037.1+10567.7+116.2</f>
        <v>89649.99999999999</v>
      </c>
      <c r="E7" s="107">
        <f>D7/D6*100</f>
        <v>52.226363565397406</v>
      </c>
      <c r="F7" s="107">
        <f>D7/B7*100</f>
        <v>93.88978083307936</v>
      </c>
      <c r="G7" s="107">
        <f>D7/C7*100</f>
        <v>51.54182793250865</v>
      </c>
      <c r="H7" s="107">
        <f>B7-D7</f>
        <v>5834.3000000000175</v>
      </c>
      <c r="I7" s="107">
        <f t="shared" si="1"/>
        <v>84286.40000000001</v>
      </c>
    </row>
    <row r="8" spans="1:9" ht="18">
      <c r="A8" s="29" t="s">
        <v>3</v>
      </c>
      <c r="B8" s="49">
        <v>142563.7</v>
      </c>
      <c r="C8" s="50">
        <v>251964.7</v>
      </c>
      <c r="D8" s="51">
        <f>2656.8+4544.7+5310.3+304.5+4240.2+2115.7+0.5+13.7+8260.2+9928.8+1441.7+7980.3+10682.7+0.1+0.1+1665.8+5183.3+3109.4+5382+3940+3165+1+0.1+5.9+3224.2+3872.8+9043.5+102.7+4158.8+4271.2-0.1+579.2+6936.6+16104.8</f>
        <v>128226.5</v>
      </c>
      <c r="E8" s="1">
        <f>D8/D6*100</f>
        <v>74.69942897622343</v>
      </c>
      <c r="F8" s="1">
        <f>D8/B8*100</f>
        <v>89.94330253774278</v>
      </c>
      <c r="G8" s="1">
        <f t="shared" si="0"/>
        <v>50.890660477439894</v>
      </c>
      <c r="H8" s="1">
        <f>B8-D8</f>
        <v>14337.200000000012</v>
      </c>
      <c r="I8" s="1">
        <f t="shared" si="1"/>
        <v>123738.20000000001</v>
      </c>
    </row>
    <row r="9" spans="1:9" ht="18">
      <c r="A9" s="29" t="s">
        <v>2</v>
      </c>
      <c r="B9" s="49">
        <v>9.2</v>
      </c>
      <c r="C9" s="50">
        <v>45.2</v>
      </c>
      <c r="D9" s="51">
        <f>0.3+0.2+0.7+0.8</f>
        <v>2</v>
      </c>
      <c r="E9" s="12">
        <f>D9/D6*100</f>
        <v>0.0011651168670473487</v>
      </c>
      <c r="F9" s="136">
        <f>D9/B9*100</f>
        <v>21.73913043478261</v>
      </c>
      <c r="G9" s="1">
        <f t="shared" si="0"/>
        <v>4.424778761061947</v>
      </c>
      <c r="H9" s="1">
        <f aca="true" t="shared" si="2" ref="H9:H43">B9-D9</f>
        <v>7.199999999999999</v>
      </c>
      <c r="I9" s="1">
        <f t="shared" si="1"/>
        <v>43.2</v>
      </c>
    </row>
    <row r="10" spans="1:9" ht="18">
      <c r="A10" s="29" t="s">
        <v>1</v>
      </c>
      <c r="B10" s="49">
        <v>9950.9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</f>
        <v>8253.599999999999</v>
      </c>
      <c r="E10" s="1">
        <f>D10/D6*100</f>
        <v>4.808204286930998</v>
      </c>
      <c r="F10" s="1">
        <f aca="true" t="shared" si="3" ref="F10:F41">D10/B10*100</f>
        <v>82.9432513641982</v>
      </c>
      <c r="G10" s="1">
        <f t="shared" si="0"/>
        <v>37.33039041864167</v>
      </c>
      <c r="H10" s="1">
        <f t="shared" si="2"/>
        <v>1697.300000000001</v>
      </c>
      <c r="I10" s="1">
        <f t="shared" si="1"/>
        <v>13856</v>
      </c>
    </row>
    <row r="11" spans="1:9" ht="18">
      <c r="A11" s="29" t="s">
        <v>0</v>
      </c>
      <c r="B11" s="49">
        <v>34816</v>
      </c>
      <c r="C11" s="50">
        <f>59404.7+2001.2</f>
        <v>61405.899999999994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</f>
        <v>33605.3</v>
      </c>
      <c r="E11" s="1">
        <f>D11/D6*100</f>
        <v>19.577050926093136</v>
      </c>
      <c r="F11" s="1">
        <f t="shared" si="3"/>
        <v>96.5225758272059</v>
      </c>
      <c r="G11" s="1">
        <f t="shared" si="0"/>
        <v>54.72650022229135</v>
      </c>
      <c r="H11" s="1">
        <f t="shared" si="2"/>
        <v>1210.699999999997</v>
      </c>
      <c r="I11" s="1">
        <f t="shared" si="1"/>
        <v>27800.59999999999</v>
      </c>
    </row>
    <row r="12" spans="1:9" ht="18">
      <c r="A12" s="29" t="s">
        <v>15</v>
      </c>
      <c r="B12" s="49">
        <v>202.8</v>
      </c>
      <c r="C12" s="50">
        <v>286.2</v>
      </c>
      <c r="D12" s="51">
        <f>3.8+3.8+12.7+7.4+5+16.3+3.8+110.9+3.8</f>
        <v>167.5</v>
      </c>
      <c r="E12" s="1">
        <f>D12/D6*100</f>
        <v>0.09757853761521547</v>
      </c>
      <c r="F12" s="1">
        <f t="shared" si="3"/>
        <v>82.59368836291912</v>
      </c>
      <c r="G12" s="1">
        <f t="shared" si="0"/>
        <v>58.525506638714184</v>
      </c>
      <c r="H12" s="1">
        <f t="shared" si="2"/>
        <v>35.30000000000001</v>
      </c>
      <c r="I12" s="1">
        <f t="shared" si="1"/>
        <v>118.69999999999999</v>
      </c>
    </row>
    <row r="13" spans="1:9" ht="18.75" thickBot="1">
      <c r="A13" s="29" t="s">
        <v>35</v>
      </c>
      <c r="B13" s="50">
        <f>B6-B8-B9-B10-B11-B12</f>
        <v>2327.1000000000013</v>
      </c>
      <c r="C13" s="50">
        <f>C6-C8-C9-C10-C11-C12</f>
        <v>3699.099999999952</v>
      </c>
      <c r="D13" s="50">
        <f>D6-D8-D9-D10-D11-D12</f>
        <v>1401.7000000000626</v>
      </c>
      <c r="E13" s="1">
        <f>D13/D6*100</f>
        <v>0.8165721562701709</v>
      </c>
      <c r="F13" s="1">
        <f t="shared" si="3"/>
        <v>60.23376734992316</v>
      </c>
      <c r="G13" s="1">
        <f t="shared" si="0"/>
        <v>37.893001000245484</v>
      </c>
      <c r="H13" s="1">
        <f t="shared" si="2"/>
        <v>925.3999999999387</v>
      </c>
      <c r="I13" s="1">
        <f t="shared" si="1"/>
        <v>2297.3999999998896</v>
      </c>
    </row>
    <row r="14" spans="1:9" s="44" customFormat="1" ht="18.75" customHeight="1" hidden="1">
      <c r="A14" s="108" t="s">
        <v>82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79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80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81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f>106370+3720.6</f>
        <v>110090.6</v>
      </c>
      <c r="C18" s="53">
        <f>225678.2+490.7+518-0.1</f>
        <v>226686.80000000002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</f>
        <v>98276.19999999998</v>
      </c>
      <c r="E18" s="3">
        <f>D18/D144*100</f>
        <v>23.574975783619983</v>
      </c>
      <c r="F18" s="3">
        <f>D18/B18*100</f>
        <v>89.26847523766787</v>
      </c>
      <c r="G18" s="3">
        <f t="shared" si="0"/>
        <v>43.35329626603753</v>
      </c>
      <c r="H18" s="3">
        <f>B18-D18</f>
        <v>11814.400000000023</v>
      </c>
      <c r="I18" s="3">
        <f t="shared" si="1"/>
        <v>128410.60000000003</v>
      </c>
    </row>
    <row r="19" spans="1:9" s="44" customFormat="1" ht="18.75">
      <c r="A19" s="118" t="s">
        <v>108</v>
      </c>
      <c r="B19" s="109">
        <v>97469.8</v>
      </c>
      <c r="C19" s="106">
        <v>186519.2</v>
      </c>
      <c r="D19" s="119">
        <f>20724.4+1058.1+4.5+4107.3+4273.5+909.7+5187.7+0.2+1026+1411.4+1.1+2729.9+0.1+4996.6+194.4+3533.4+1472.3+168.5+4832.7+355.2+3934.8+898.3+346.7+1.4+2032.6+5166.1+215.6+8.9+280.6+67.9+6901.6+1571.1-0.1+2551.6+0.1+462.5+1.2+5789.6</f>
        <v>87217.50000000001</v>
      </c>
      <c r="E19" s="107">
        <f>D19/D18*100</f>
        <v>88.7473264127022</v>
      </c>
      <c r="F19" s="107">
        <f t="shared" si="3"/>
        <v>89.481562494229</v>
      </c>
      <c r="G19" s="107">
        <f t="shared" si="0"/>
        <v>46.76060158954146</v>
      </c>
      <c r="H19" s="107">
        <f t="shared" si="2"/>
        <v>10252.299999999988</v>
      </c>
      <c r="I19" s="107">
        <f t="shared" si="1"/>
        <v>99301.7</v>
      </c>
    </row>
    <row r="20" spans="1:9" ht="18">
      <c r="A20" s="29" t="s">
        <v>5</v>
      </c>
      <c r="B20" s="49">
        <f>80861+2566.8</f>
        <v>83427.8</v>
      </c>
      <c r="C20" s="50">
        <v>169195.9</v>
      </c>
      <c r="D20" s="51">
        <f>5164.3+574.5+4352.6-225.6+2461.2+632.3+5026.9+4104.6-0.1+3875.3+3989.4+855.4+280+4996.6+192.6+3533.4+437.2+168.1+4832.7+3683.6+898.2+0.2+194.2+4252.2+32.7+5166.1+5891.5+37.7+4672.2+35.4+5475.1</f>
        <v>75590.49999999997</v>
      </c>
      <c r="E20" s="1">
        <f>D20/D18*100</f>
        <v>76.91638463839666</v>
      </c>
      <c r="F20" s="1">
        <f t="shared" si="3"/>
        <v>90.6058891640436</v>
      </c>
      <c r="G20" s="1">
        <f t="shared" si="0"/>
        <v>44.67631898881709</v>
      </c>
      <c r="H20" s="1">
        <f t="shared" si="2"/>
        <v>7837.300000000032</v>
      </c>
      <c r="I20" s="1">
        <f t="shared" si="1"/>
        <v>93605.40000000002</v>
      </c>
    </row>
    <row r="21" spans="1:9" ht="18">
      <c r="A21" s="29" t="s">
        <v>2</v>
      </c>
      <c r="B21" s="49">
        <f>5011-12</f>
        <v>4999</v>
      </c>
      <c r="C21" s="50">
        <v>12491.1</v>
      </c>
      <c r="D21" s="51">
        <f>11+1.8+42.7+3+47.6+40.1+0.7+2.5+101.4-0.1+82.5+53+0.2+1536.8+83.2+0.7+12.8+1.8+77.1+0.2+37.6+299.6+50.4+17.9+245.6+224.3+1.2+312.9+1.2</f>
        <v>3289.6999999999994</v>
      </c>
      <c r="E21" s="1">
        <f>D21/D18*100</f>
        <v>3.3474025247211427</v>
      </c>
      <c r="F21" s="1">
        <f t="shared" si="3"/>
        <v>65.80716143228645</v>
      </c>
      <c r="G21" s="1">
        <f t="shared" si="0"/>
        <v>26.33635148225536</v>
      </c>
      <c r="H21" s="1">
        <f t="shared" si="2"/>
        <v>1709.3000000000006</v>
      </c>
      <c r="I21" s="1">
        <f t="shared" si="1"/>
        <v>9201.400000000001</v>
      </c>
    </row>
    <row r="22" spans="1:9" ht="18">
      <c r="A22" s="29" t="s">
        <v>1</v>
      </c>
      <c r="B22" s="49">
        <v>1620.8</v>
      </c>
      <c r="C22" s="50">
        <v>3253.3</v>
      </c>
      <c r="D22" s="51">
        <f>173.9+19+7.6+19.5+89.8+0.1+92.4+48.6+202.1+56.1+96.9+242.1+36.1+19.2+171.7+0.1+22.2+39</f>
        <v>1336.4</v>
      </c>
      <c r="E22" s="1">
        <f>D22/D18*100</f>
        <v>1.3598409380908096</v>
      </c>
      <c r="F22" s="1">
        <f t="shared" si="3"/>
        <v>82.45310957551827</v>
      </c>
      <c r="G22" s="1">
        <f t="shared" si="0"/>
        <v>41.07828973657517</v>
      </c>
      <c r="H22" s="1">
        <f t="shared" si="2"/>
        <v>284.39999999999986</v>
      </c>
      <c r="I22" s="1">
        <f t="shared" si="1"/>
        <v>1916.9</v>
      </c>
    </row>
    <row r="23" spans="1:9" ht="18">
      <c r="A23" s="29" t="s">
        <v>0</v>
      </c>
      <c r="B23" s="49">
        <f>11815.7+1153.8</f>
        <v>12969.5</v>
      </c>
      <c r="C23" s="50">
        <f>24676.2+518</f>
        <v>25194.2</v>
      </c>
      <c r="D23" s="51">
        <f>96.9+173.9+611.9+463.4+109.9+698.9+114.7+0.2+702.4+1027.2+819.6+1945.5+240.6+329.9+0.1+104.4+1287.1+2.2+0.5+9+338.9+138.1+1558.4-0.2+1154.7+105.4+0.9</f>
        <v>12034.5</v>
      </c>
      <c r="E23" s="1">
        <f>D23/D18*100</f>
        <v>12.245589471306381</v>
      </c>
      <c r="F23" s="1">
        <f t="shared" si="3"/>
        <v>92.7907783646247</v>
      </c>
      <c r="G23" s="1">
        <f t="shared" si="0"/>
        <v>47.76694636067031</v>
      </c>
      <c r="H23" s="1">
        <f t="shared" si="2"/>
        <v>935</v>
      </c>
      <c r="I23" s="1">
        <f t="shared" si="1"/>
        <v>13159.7</v>
      </c>
    </row>
    <row r="24" spans="1:9" ht="18">
      <c r="A24" s="29" t="s">
        <v>15</v>
      </c>
      <c r="B24" s="49">
        <v>707.4</v>
      </c>
      <c r="C24" s="50">
        <v>1528.1</v>
      </c>
      <c r="D24" s="51">
        <f>111+58.1+166.1+55.7+24.9+10.1-0.1+89.8+44.2+0.1</f>
        <v>559.9</v>
      </c>
      <c r="E24" s="1">
        <f>D24/D18*100</f>
        <v>0.569720847977435</v>
      </c>
      <c r="F24" s="1">
        <f t="shared" si="3"/>
        <v>79.14899632456884</v>
      </c>
      <c r="G24" s="1">
        <f t="shared" si="0"/>
        <v>36.640272233492574</v>
      </c>
      <c r="H24" s="1">
        <f t="shared" si="2"/>
        <v>147.5</v>
      </c>
      <c r="I24" s="1">
        <f t="shared" si="1"/>
        <v>968.1999999999999</v>
      </c>
    </row>
    <row r="25" spans="1:9" ht="18.75" thickBot="1">
      <c r="A25" s="29" t="s">
        <v>35</v>
      </c>
      <c r="B25" s="50">
        <f>B18-B20-B21-B22-B23-B24</f>
        <v>6366.100000000004</v>
      </c>
      <c r="C25" s="50">
        <f>C18-C20-C21-C22-C23-C24</f>
        <v>15024.20000000002</v>
      </c>
      <c r="D25" s="50">
        <f>D18-D20-D21-D22-D23-D24</f>
        <v>5465.20000000001</v>
      </c>
      <c r="E25" s="1">
        <f>D25/D18*100</f>
        <v>5.5610615795075615</v>
      </c>
      <c r="F25" s="1">
        <f t="shared" si="3"/>
        <v>85.84847866040442</v>
      </c>
      <c r="G25" s="1">
        <f t="shared" si="0"/>
        <v>36.37598008546213</v>
      </c>
      <c r="H25" s="1">
        <f t="shared" si="2"/>
        <v>900.8999999999942</v>
      </c>
      <c r="I25" s="1">
        <f t="shared" si="1"/>
        <v>9559.000000000011</v>
      </c>
    </row>
    <row r="26" spans="1:9" ht="57" hidden="1" thickBot="1">
      <c r="A26" s="108" t="s">
        <v>90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91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92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93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94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95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96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v>25251.1</v>
      </c>
      <c r="C33" s="53">
        <f>41831.7+164.1+250.5</f>
        <v>42246.299999999996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</f>
        <v>22098.299999999992</v>
      </c>
      <c r="E33" s="3">
        <f>D33/D144*100</f>
        <v>5.301048344962152</v>
      </c>
      <c r="F33" s="3">
        <f>D33/B33*100</f>
        <v>87.5142073018601</v>
      </c>
      <c r="G33" s="3">
        <f t="shared" si="0"/>
        <v>52.308249479836086</v>
      </c>
      <c r="H33" s="3">
        <f t="shared" si="2"/>
        <v>3152.8000000000065</v>
      </c>
      <c r="I33" s="3">
        <f t="shared" si="1"/>
        <v>20148.000000000004</v>
      </c>
    </row>
    <row r="34" spans="1:9" ht="18">
      <c r="A34" s="29" t="s">
        <v>3</v>
      </c>
      <c r="B34" s="49">
        <v>18295.6</v>
      </c>
      <c r="C34" s="50">
        <v>29626.4</v>
      </c>
      <c r="D34" s="51">
        <f>1216.2+1064.6-0.1+1185.2+1240.8+0.1+1202.8+1206.8+1191.1+1224.7+5.8+1196.2+1414.6+52.8+4003.5+27.3</f>
        <v>16232.400000000001</v>
      </c>
      <c r="E34" s="1">
        <f>D34/D33*100</f>
        <v>73.45542417290021</v>
      </c>
      <c r="F34" s="1">
        <f t="shared" si="3"/>
        <v>88.72297164345527</v>
      </c>
      <c r="G34" s="1">
        <f t="shared" si="0"/>
        <v>54.79032214511383</v>
      </c>
      <c r="H34" s="1">
        <f t="shared" si="2"/>
        <v>2063.199999999997</v>
      </c>
      <c r="I34" s="1">
        <f t="shared" si="1"/>
        <v>13394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1617.4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</f>
        <v>1232.7</v>
      </c>
      <c r="E36" s="1">
        <f>D36/D33*100</f>
        <v>5.578257151002568</v>
      </c>
      <c r="F36" s="1">
        <f t="shared" si="3"/>
        <v>76.21491282304935</v>
      </c>
      <c r="G36" s="1">
        <f t="shared" si="0"/>
        <v>46.09947643979058</v>
      </c>
      <c r="H36" s="1">
        <f t="shared" si="2"/>
        <v>384.70000000000005</v>
      </c>
      <c r="I36" s="1">
        <f t="shared" si="1"/>
        <v>1441.3</v>
      </c>
    </row>
    <row r="37" spans="1:9" s="44" customFormat="1" ht="18.75">
      <c r="A37" s="23" t="s">
        <v>7</v>
      </c>
      <c r="B37" s="58">
        <v>269.5</v>
      </c>
      <c r="C37" s="59">
        <f>493.5+22</f>
        <v>515.5</v>
      </c>
      <c r="D37" s="60">
        <f>19+12.3+0.1+11.9+3.2+10.7+22.4+14.8+37.3+30.8+8.3+7.2+2+25.1+13.5</f>
        <v>218.6</v>
      </c>
      <c r="E37" s="19">
        <f>D37/D33*100</f>
        <v>0.9892163650597561</v>
      </c>
      <c r="F37" s="19">
        <f t="shared" si="3"/>
        <v>81.11317254174398</v>
      </c>
      <c r="G37" s="19">
        <f t="shared" si="0"/>
        <v>42.40543161978662</v>
      </c>
      <c r="H37" s="19">
        <f t="shared" si="2"/>
        <v>50.900000000000006</v>
      </c>
      <c r="I37" s="19">
        <f t="shared" si="1"/>
        <v>296.9</v>
      </c>
    </row>
    <row r="38" spans="1:9" ht="18">
      <c r="A38" s="29" t="s">
        <v>15</v>
      </c>
      <c r="B38" s="49">
        <v>37</v>
      </c>
      <c r="C38" s="50">
        <v>47.2</v>
      </c>
      <c r="D38" s="50">
        <f>3.4+3.4+3.4+3.4+3.4</f>
        <v>17</v>
      </c>
      <c r="E38" s="1">
        <f>D38/D33*100</f>
        <v>0.07692899453804142</v>
      </c>
      <c r="F38" s="1">
        <f t="shared" si="3"/>
        <v>45.94594594594595</v>
      </c>
      <c r="G38" s="1">
        <f t="shared" si="0"/>
        <v>36.016949152542374</v>
      </c>
      <c r="H38" s="1">
        <f t="shared" si="2"/>
        <v>20</v>
      </c>
      <c r="I38" s="1">
        <f t="shared" si="1"/>
        <v>30.200000000000003</v>
      </c>
    </row>
    <row r="39" spans="1:9" ht="18.75" thickBot="1">
      <c r="A39" s="29" t="s">
        <v>35</v>
      </c>
      <c r="B39" s="49">
        <f>B33-B34-B36-B37-B35-B38</f>
        <v>5031.6</v>
      </c>
      <c r="C39" s="49">
        <f>C33-C34-C36-C37-C35-C38</f>
        <v>9383.199999999993</v>
      </c>
      <c r="D39" s="49">
        <f>D33-D34-D36-D37-D35-D38</f>
        <v>4397.59999999999</v>
      </c>
      <c r="E39" s="1">
        <f>D39/D33*100</f>
        <v>19.900173316499423</v>
      </c>
      <c r="F39" s="1">
        <f t="shared" si="3"/>
        <v>87.3996343111533</v>
      </c>
      <c r="G39" s="1">
        <f t="shared" si="0"/>
        <v>46.86674055759222</v>
      </c>
      <c r="H39" s="1">
        <f>B39-D39</f>
        <v>634.00000000001</v>
      </c>
      <c r="I39" s="1">
        <f t="shared" si="1"/>
        <v>4985.600000000003</v>
      </c>
    </row>
    <row r="40" spans="1:9" ht="19.5" hidden="1" thickBot="1">
      <c r="A40" s="108" t="s">
        <v>87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88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89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428.2</v>
      </c>
      <c r="C43" s="53">
        <f>768.4+32.5+15</f>
        <v>815.9</v>
      </c>
      <c r="D43" s="54">
        <f>17.7+12.2+11.2+51.1+0.8+30+0.1+18.9+27.3+43.7+9+5.4+5.6+7.8+24.4+6.4-0.1+26.1+70.2</f>
        <v>367.79999999999995</v>
      </c>
      <c r="E43" s="3">
        <f>D43/D144*100</f>
        <v>0.08822966387808473</v>
      </c>
      <c r="F43" s="3">
        <f>D43/B43*100</f>
        <v>85.89444184960297</v>
      </c>
      <c r="G43" s="3">
        <f t="shared" si="0"/>
        <v>45.07905380561343</v>
      </c>
      <c r="H43" s="3">
        <f t="shared" si="2"/>
        <v>60.400000000000034</v>
      </c>
      <c r="I43" s="3">
        <f t="shared" si="1"/>
        <v>448.1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55</v>
      </c>
      <c r="B45" s="52">
        <v>3360.2</v>
      </c>
      <c r="C45" s="53">
        <f>6659.3+87.1</f>
        <v>6746.400000000001</v>
      </c>
      <c r="D45" s="54">
        <f>193+223+8.7+101.1+200.9+9+241+299.2+7.6+43.6+283.1+0.8+48.7+276.1+3.4+2.2+253.5+5+282+1.9+4.8+3.2+261.3+0.5+265.1</f>
        <v>3018.7</v>
      </c>
      <c r="E45" s="3">
        <f>D45/D144*100</f>
        <v>0.7241405284088483</v>
      </c>
      <c r="F45" s="3">
        <f>D45/B45*100</f>
        <v>89.83691446937682</v>
      </c>
      <c r="G45" s="3">
        <f aca="true" t="shared" si="4" ref="G45:G75">D45/C45*100</f>
        <v>44.74534566583659</v>
      </c>
      <c r="H45" s="3">
        <f>B45-D45</f>
        <v>341.5</v>
      </c>
      <c r="I45" s="3">
        <f aca="true" t="shared" si="5" ref="I45:I76">C45-D45</f>
        <v>3727.7000000000007</v>
      </c>
    </row>
    <row r="46" spans="1:9" ht="18">
      <c r="A46" s="29" t="s">
        <v>3</v>
      </c>
      <c r="B46" s="49">
        <v>2808.7</v>
      </c>
      <c r="C46" s="50">
        <v>5755.9</v>
      </c>
      <c r="D46" s="51">
        <f>193+222.7+1.6+196.4+240.9+0.1+199.7+265.9+214+253.1+238.6+255.9+243.9</f>
        <v>2525.8</v>
      </c>
      <c r="E46" s="1">
        <f>D46/D45*100</f>
        <v>83.67177924272039</v>
      </c>
      <c r="F46" s="1">
        <f aca="true" t="shared" si="6" ref="F46:F73">D46/B46*100</f>
        <v>89.92772457008581</v>
      </c>
      <c r="G46" s="1">
        <f t="shared" si="4"/>
        <v>43.88192984589726</v>
      </c>
      <c r="H46" s="1">
        <f aca="true" t="shared" si="7" ref="H46:H73">B46-D46</f>
        <v>282.89999999999964</v>
      </c>
      <c r="I46" s="1">
        <f t="shared" si="5"/>
        <v>3230.0999999999995</v>
      </c>
    </row>
    <row r="47" spans="1:9" ht="18">
      <c r="A47" s="29" t="s">
        <v>2</v>
      </c>
      <c r="B47" s="49">
        <v>0.7</v>
      </c>
      <c r="C47" s="50">
        <v>1.2</v>
      </c>
      <c r="D47" s="51">
        <f>0.3</f>
        <v>0.3</v>
      </c>
      <c r="E47" s="1">
        <f>D47/D45*100</f>
        <v>0.009938052804187233</v>
      </c>
      <c r="F47" s="1">
        <f t="shared" si="6"/>
        <v>42.85714285714286</v>
      </c>
      <c r="G47" s="1">
        <f t="shared" si="4"/>
        <v>25</v>
      </c>
      <c r="H47" s="1">
        <f t="shared" si="7"/>
        <v>0.39999999999999997</v>
      </c>
      <c r="I47" s="1">
        <f t="shared" si="5"/>
        <v>0.8999999999999999</v>
      </c>
    </row>
    <row r="48" spans="1:9" ht="18">
      <c r="A48" s="29" t="s">
        <v>1</v>
      </c>
      <c r="B48" s="49">
        <v>31.1</v>
      </c>
      <c r="C48" s="50">
        <v>60.2</v>
      </c>
      <c r="D48" s="51">
        <f>3.8+1+5.7-0.1+1.3+4.1-0.1+4.6+1.1+4.8</f>
        <v>26.200000000000003</v>
      </c>
      <c r="E48" s="1">
        <f>D48/D45*100</f>
        <v>0.8679232782323518</v>
      </c>
      <c r="F48" s="1">
        <f t="shared" si="6"/>
        <v>84.2443729903537</v>
      </c>
      <c r="G48" s="1">
        <f t="shared" si="4"/>
        <v>43.521594684385384</v>
      </c>
      <c r="H48" s="1">
        <f t="shared" si="7"/>
        <v>4.899999999999999</v>
      </c>
      <c r="I48" s="1">
        <f t="shared" si="5"/>
        <v>34</v>
      </c>
    </row>
    <row r="49" spans="1:9" ht="18">
      <c r="A49" s="29" t="s">
        <v>0</v>
      </c>
      <c r="B49" s="49">
        <v>308.6</v>
      </c>
      <c r="C49" s="50">
        <v>538.3</v>
      </c>
      <c r="D49" s="51">
        <f>4.7+90.3+4.8+67.1+3.1+1.1+45.6+36.3+2.7+2+0.1+34.4+3.4+0.5</f>
        <v>296.0999999999999</v>
      </c>
      <c r="E49" s="1">
        <f>D49/D45*100</f>
        <v>9.808858117732797</v>
      </c>
      <c r="F49" s="1">
        <f t="shared" si="6"/>
        <v>95.94944912508097</v>
      </c>
      <c r="G49" s="1">
        <f t="shared" si="4"/>
        <v>55.00650195058516</v>
      </c>
      <c r="H49" s="1">
        <f t="shared" si="7"/>
        <v>12.500000000000114</v>
      </c>
      <c r="I49" s="1">
        <f t="shared" si="5"/>
        <v>242.20000000000005</v>
      </c>
    </row>
    <row r="50" spans="1:9" ht="18.75" thickBot="1">
      <c r="A50" s="29" t="s">
        <v>35</v>
      </c>
      <c r="B50" s="50">
        <f>B45-B46-B49-B48-B47</f>
        <v>211.1</v>
      </c>
      <c r="C50" s="50">
        <f>C45-C46-C49-C48-C47</f>
        <v>390.800000000001</v>
      </c>
      <c r="D50" s="50">
        <f>D45-D46-D49-D48-D47</f>
        <v>170.29999999999973</v>
      </c>
      <c r="E50" s="1">
        <f>D50/D45*100</f>
        <v>5.641501308510277</v>
      </c>
      <c r="F50" s="1">
        <f t="shared" si="6"/>
        <v>80.67266698247263</v>
      </c>
      <c r="G50" s="1">
        <f t="shared" si="4"/>
        <v>43.5772773797337</v>
      </c>
      <c r="H50" s="1">
        <f t="shared" si="7"/>
        <v>40.80000000000027</v>
      </c>
      <c r="I50" s="1">
        <f t="shared" si="5"/>
        <v>220.50000000000125</v>
      </c>
    </row>
    <row r="51" spans="1:9" ht="18.75" thickBot="1">
      <c r="A51" s="28" t="s">
        <v>4</v>
      </c>
      <c r="B51" s="52">
        <v>7752.3</v>
      </c>
      <c r="C51" s="53">
        <f>13881+326.7</f>
        <v>14207.7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</f>
        <v>6100.2</v>
      </c>
      <c r="E51" s="3">
        <f>D51/D144*100</f>
        <v>1.4633458281378264</v>
      </c>
      <c r="F51" s="3">
        <f>D51/B51*100</f>
        <v>78.68890522812583</v>
      </c>
      <c r="G51" s="3">
        <f t="shared" si="4"/>
        <v>42.93587280136827</v>
      </c>
      <c r="H51" s="3">
        <f>B51-D51</f>
        <v>1652.1000000000004</v>
      </c>
      <c r="I51" s="3">
        <f t="shared" si="5"/>
        <v>8107.500000000001</v>
      </c>
    </row>
    <row r="52" spans="1:9" ht="18">
      <c r="A52" s="29" t="s">
        <v>3</v>
      </c>
      <c r="B52" s="49">
        <v>4576.8</v>
      </c>
      <c r="C52" s="50">
        <v>8729.1</v>
      </c>
      <c r="D52" s="51">
        <f>260.4+390.2+0.1+271.7+395.7-0.1+282.9+391.4+0.1+7.8+263.9+397.2+272.6+486-0.1+358</f>
        <v>3777.7999999999997</v>
      </c>
      <c r="E52" s="1">
        <f>D52/D51*100</f>
        <v>61.929117078128584</v>
      </c>
      <c r="F52" s="1">
        <f t="shared" si="6"/>
        <v>82.542387694459</v>
      </c>
      <c r="G52" s="1">
        <f t="shared" si="4"/>
        <v>43.27823028720028</v>
      </c>
      <c r="H52" s="1">
        <f t="shared" si="7"/>
        <v>799.0000000000005</v>
      </c>
      <c r="I52" s="1">
        <f t="shared" si="5"/>
        <v>4951.300000000001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6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v>137</v>
      </c>
      <c r="C54" s="50">
        <f>189.7+74</f>
        <v>263.7</v>
      </c>
      <c r="D54" s="51">
        <f>1.7+1.5+4.6+9.7+8-0.1+0.1+5.9+12.1+0.1+17.6+12.8+4+10.7</f>
        <v>88.7</v>
      </c>
      <c r="E54" s="1">
        <f>D54/D51*100</f>
        <v>1.4540506868627259</v>
      </c>
      <c r="F54" s="1">
        <f t="shared" si="6"/>
        <v>64.74452554744525</v>
      </c>
      <c r="G54" s="1">
        <f t="shared" si="4"/>
        <v>33.63670838073568</v>
      </c>
      <c r="H54" s="1">
        <f t="shared" si="7"/>
        <v>48.3</v>
      </c>
      <c r="I54" s="1">
        <f t="shared" si="5"/>
        <v>175</v>
      </c>
    </row>
    <row r="55" spans="1:9" ht="18">
      <c r="A55" s="29" t="s">
        <v>0</v>
      </c>
      <c r="B55" s="49">
        <v>410.6</v>
      </c>
      <c r="C55" s="50">
        <f>709.9+0.6</f>
        <v>710.5</v>
      </c>
      <c r="D55" s="51">
        <f>1.1+7.6+5.9+0.3+0.2+6.8+0.3+67.1+16.4-0.1+19.5+19.3+76.2+4.5+12.1+86.4+1+0.1+7.3+44.6+0.6+0.7+4.7+3.3+0.6+3.6</f>
        <v>390.10000000000014</v>
      </c>
      <c r="E55" s="1">
        <f>D55/D51*100</f>
        <v>6.394872299268879</v>
      </c>
      <c r="F55" s="1">
        <f t="shared" si="6"/>
        <v>95.00730638090602</v>
      </c>
      <c r="G55" s="1">
        <f t="shared" si="4"/>
        <v>54.904996481351176</v>
      </c>
      <c r="H55" s="1">
        <f t="shared" si="7"/>
        <v>20.499999999999886</v>
      </c>
      <c r="I55" s="1">
        <f t="shared" si="5"/>
        <v>320.39999999999986</v>
      </c>
    </row>
    <row r="56" spans="1:9" ht="18.75" thickBot="1">
      <c r="A56" s="29" t="s">
        <v>35</v>
      </c>
      <c r="B56" s="50">
        <f>B51-B52-B55-B54-B53</f>
        <v>2627.9</v>
      </c>
      <c r="C56" s="50">
        <f>C51-C52-C55-C54-C53</f>
        <v>4493.500000000001</v>
      </c>
      <c r="D56" s="50">
        <f>D51-D52-D55-D54-D53</f>
        <v>1843.6</v>
      </c>
      <c r="E56" s="1">
        <f>D56/D51*100</f>
        <v>30.22195993573981</v>
      </c>
      <c r="F56" s="1">
        <f t="shared" si="6"/>
        <v>70.15487651737128</v>
      </c>
      <c r="G56" s="1">
        <f t="shared" si="4"/>
        <v>41.02815177478579</v>
      </c>
      <c r="H56" s="1">
        <f t="shared" si="7"/>
        <v>784.3000000000002</v>
      </c>
      <c r="I56" s="1">
        <f>C56-D56</f>
        <v>2649.900000000001</v>
      </c>
    </row>
    <row r="57" spans="1:9" s="44" customFormat="1" ht="19.5" hidden="1" thickBot="1">
      <c r="A57" s="108" t="s">
        <v>86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v>3174.8</v>
      </c>
      <c r="C58" s="53">
        <f>3033.3+2447.7+44</f>
        <v>5525</v>
      </c>
      <c r="D58" s="54">
        <f>36.1+65.6+6.5+0.4+1.3+60.3+3+39.2+0.1+14.1+69.1+5.2-0.1+1.8+81+43+6.1+66+42.4+63.1+71.4+46.8+10.3+27.4+2.3+82.5+2.8+0.1+44.9+0.6</f>
        <v>893.2999999999997</v>
      </c>
      <c r="E58" s="3">
        <f>D58/D144*100</f>
        <v>0.21428917548203663</v>
      </c>
      <c r="F58" s="3">
        <f>D58/B58*100</f>
        <v>28.13720549325941</v>
      </c>
      <c r="G58" s="3">
        <f t="shared" si="4"/>
        <v>16.1683257918552</v>
      </c>
      <c r="H58" s="3">
        <f>B58-D58</f>
        <v>2281.5000000000005</v>
      </c>
      <c r="I58" s="3">
        <f t="shared" si="5"/>
        <v>4631.700000000001</v>
      </c>
    </row>
    <row r="59" spans="1:9" ht="18">
      <c r="A59" s="29" t="s">
        <v>3</v>
      </c>
      <c r="B59" s="49">
        <v>708.6</v>
      </c>
      <c r="C59" s="50">
        <v>1426.1</v>
      </c>
      <c r="D59" s="51">
        <f>36.1+65.6+39.2+69.1+1.8+43+66+41.2+71.4+46.8+1.2+82.5+0.1+44.9</f>
        <v>608.9</v>
      </c>
      <c r="E59" s="1">
        <f>D59/D58*100</f>
        <v>68.16299115638645</v>
      </c>
      <c r="F59" s="1">
        <f t="shared" si="6"/>
        <v>85.93000282246683</v>
      </c>
      <c r="G59" s="1">
        <f t="shared" si="4"/>
        <v>42.69686557744899</v>
      </c>
      <c r="H59" s="1">
        <f t="shared" si="7"/>
        <v>99.70000000000005</v>
      </c>
      <c r="I59" s="1">
        <f t="shared" si="5"/>
        <v>817.1999999999999</v>
      </c>
    </row>
    <row r="60" spans="1:9" ht="18">
      <c r="A60" s="29" t="s">
        <v>1</v>
      </c>
      <c r="B60" s="49">
        <f>100</f>
        <v>100</v>
      </c>
      <c r="C60" s="50">
        <f>299.9</f>
        <v>299.9</v>
      </c>
      <c r="D60" s="51"/>
      <c r="E60" s="1">
        <f>D60/D58*100</f>
        <v>0</v>
      </c>
      <c r="F60" s="116">
        <f t="shared" si="6"/>
        <v>0</v>
      </c>
      <c r="G60" s="1">
        <f t="shared" si="4"/>
        <v>0</v>
      </c>
      <c r="H60" s="1">
        <f t="shared" si="7"/>
        <v>100</v>
      </c>
      <c r="I60" s="1">
        <f t="shared" si="5"/>
        <v>299.9</v>
      </c>
    </row>
    <row r="61" spans="1:9" ht="18">
      <c r="A61" s="29" t="s">
        <v>0</v>
      </c>
      <c r="B61" s="49">
        <v>285.2</v>
      </c>
      <c r="C61" s="50">
        <f>420.8+44</f>
        <v>464.8</v>
      </c>
      <c r="D61" s="51">
        <f>1.3+56.1+4.9+63.5+3.5+0.7+63-0.1+10.3+25.7+2.8+0.3</f>
        <v>232.00000000000003</v>
      </c>
      <c r="E61" s="1">
        <f>D61/D58*100</f>
        <v>25.971118325310655</v>
      </c>
      <c r="F61" s="1">
        <f t="shared" si="6"/>
        <v>81.34642356241235</v>
      </c>
      <c r="G61" s="1">
        <f t="shared" si="4"/>
        <v>49.913941480206546</v>
      </c>
      <c r="H61" s="1">
        <f t="shared" si="7"/>
        <v>53.19999999999996</v>
      </c>
      <c r="I61" s="1">
        <f t="shared" si="5"/>
        <v>232.79999999999998</v>
      </c>
    </row>
    <row r="62" spans="1:9" ht="18">
      <c r="A62" s="29" t="s">
        <v>15</v>
      </c>
      <c r="B62" s="49">
        <v>1900</v>
      </c>
      <c r="C62" s="50">
        <f>728.9+2400</f>
        <v>3128.9</v>
      </c>
      <c r="D62" s="51"/>
      <c r="E62" s="1">
        <f>D62/D58*100</f>
        <v>0</v>
      </c>
      <c r="F62" s="116">
        <f t="shared" si="6"/>
        <v>0</v>
      </c>
      <c r="G62" s="1">
        <f t="shared" si="4"/>
        <v>0</v>
      </c>
      <c r="H62" s="1">
        <f t="shared" si="7"/>
        <v>1900</v>
      </c>
      <c r="I62" s="1">
        <f t="shared" si="5"/>
        <v>3128.9</v>
      </c>
    </row>
    <row r="63" spans="1:9" ht="18.75" thickBot="1">
      <c r="A63" s="29" t="s">
        <v>35</v>
      </c>
      <c r="B63" s="50">
        <f>B58-B59-B61-B62-B60</f>
        <v>181.00000000000045</v>
      </c>
      <c r="C63" s="50">
        <f>C58-C59-C61-C62-C60</f>
        <v>205.2999999999994</v>
      </c>
      <c r="D63" s="50">
        <f>D58-D59-D61-D62-D60</f>
        <v>52.39999999999972</v>
      </c>
      <c r="E63" s="1">
        <f>D63/D58*100</f>
        <v>5.865890518302892</v>
      </c>
      <c r="F63" s="1">
        <f t="shared" si="6"/>
        <v>28.950276243093697</v>
      </c>
      <c r="G63" s="1">
        <f t="shared" si="4"/>
        <v>25.523623964929314</v>
      </c>
      <c r="H63" s="1">
        <f t="shared" si="7"/>
        <v>128.60000000000073</v>
      </c>
      <c r="I63" s="1">
        <f t="shared" si="5"/>
        <v>152.89999999999966</v>
      </c>
    </row>
    <row r="64" spans="1:9" s="44" customFormat="1" ht="19.5" hidden="1" thickBot="1">
      <c r="A64" s="108" t="s">
        <v>97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83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84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85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288</v>
      </c>
      <c r="C68" s="53">
        <f>C69+C70</f>
        <v>450.20000000000005</v>
      </c>
      <c r="D68" s="54">
        <f>SUM(D69:D70)</f>
        <v>209.2</v>
      </c>
      <c r="E68" s="42">
        <f>D68/D144*100</f>
        <v>0.05018391974794815</v>
      </c>
      <c r="F68" s="111">
        <f>D68/B68*100</f>
        <v>72.63888888888889</v>
      </c>
      <c r="G68" s="3">
        <f t="shared" si="4"/>
        <v>46.4682363394047</v>
      </c>
      <c r="H68" s="3">
        <f>B68-D68</f>
        <v>78.80000000000001</v>
      </c>
      <c r="I68" s="3">
        <f t="shared" si="5"/>
        <v>241.00000000000006</v>
      </c>
    </row>
    <row r="69" spans="1:9" ht="18">
      <c r="A69" s="29" t="s">
        <v>8</v>
      </c>
      <c r="B69" s="49">
        <v>232.3</v>
      </c>
      <c r="C69" s="50">
        <v>250.3</v>
      </c>
      <c r="D69" s="51">
        <f>0.2+12.6+73.3+85.8+22+1.3+2.3+2.7+1.6</f>
        <v>201.79999999999998</v>
      </c>
      <c r="E69" s="1">
        <f>D69/D68*100</f>
        <v>96.46271510516252</v>
      </c>
      <c r="F69" s="1">
        <f t="shared" si="6"/>
        <v>86.87042617305207</v>
      </c>
      <c r="G69" s="1">
        <f t="shared" si="4"/>
        <v>80.62325209748302</v>
      </c>
      <c r="H69" s="1">
        <f t="shared" si="7"/>
        <v>30.50000000000003</v>
      </c>
      <c r="I69" s="1">
        <f t="shared" si="5"/>
        <v>48.50000000000003</v>
      </c>
    </row>
    <row r="70" spans="1:9" ht="18.75" thickBot="1">
      <c r="A70" s="29" t="s">
        <v>9</v>
      </c>
      <c r="B70" s="49">
        <v>55.7</v>
      </c>
      <c r="C70" s="50">
        <f>242.8-42.9</f>
        <v>199.9</v>
      </c>
      <c r="D70" s="51">
        <f>7.4</f>
        <v>7.4</v>
      </c>
      <c r="E70" s="1">
        <f>D70/D69*100</f>
        <v>3.666997026759168</v>
      </c>
      <c r="F70" s="1">
        <f t="shared" si="6"/>
        <v>13.285457809694792</v>
      </c>
      <c r="G70" s="1">
        <f t="shared" si="4"/>
        <v>3.7018509254627316</v>
      </c>
      <c r="H70" s="1">
        <f t="shared" si="7"/>
        <v>48.300000000000004</v>
      </c>
      <c r="I70" s="1">
        <f t="shared" si="5"/>
        <v>192.5</v>
      </c>
    </row>
    <row r="71" spans="1:9" ht="38.25" hidden="1" thickBot="1">
      <c r="A71" s="14" t="s">
        <v>51</v>
      </c>
      <c r="B71" s="61"/>
      <c r="C71" s="53">
        <f>C72+C73+C74+C75</f>
        <v>0</v>
      </c>
      <c r="D71" s="53">
        <f>D72+D73+D74+D75</f>
        <v>0</v>
      </c>
      <c r="E71" s="3">
        <f>D71/D144*100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57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58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42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52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0</v>
      </c>
      <c r="C76" s="69">
        <f>10000-6127.8-2982.3</f>
        <v>889.8999999999996</v>
      </c>
      <c r="D76" s="70"/>
      <c r="E76" s="48"/>
      <c r="F76" s="48"/>
      <c r="G76" s="48"/>
      <c r="H76" s="48">
        <f>B76-D76</f>
        <v>0</v>
      </c>
      <c r="I76" s="48">
        <f t="shared" si="5"/>
        <v>889.8999999999996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77</v>
      </c>
      <c r="B78" s="61"/>
      <c r="C78" s="53">
        <f>C79+C80</f>
        <v>0</v>
      </c>
      <c r="D78" s="53">
        <f>D79+D80</f>
        <v>0</v>
      </c>
      <c r="E78" s="3">
        <f>D78/D144*100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76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69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41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48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43</v>
      </c>
      <c r="B83" s="61"/>
      <c r="C83" s="53">
        <f>C84+C85</f>
        <v>0</v>
      </c>
      <c r="D83" s="53">
        <f>D84+D85</f>
        <v>0</v>
      </c>
      <c r="E83" s="3">
        <f>D83/D144*100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30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31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44</v>
      </c>
      <c r="B86" s="61"/>
      <c r="C86" s="53">
        <f>SUM(C87:C88)</f>
        <v>0</v>
      </c>
      <c r="D86" s="53">
        <f>SUM(D87:D88)</f>
        <v>0</v>
      </c>
      <c r="E86" s="3">
        <f>D86/D144*100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30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31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v>24884.2</v>
      </c>
      <c r="C89" s="53">
        <f>47925.9+539.6+110+168.6</f>
        <v>48744.1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+6.6+23.5+71.3+3.1+55.7+12.1+9.9+24.6+1303.7+813.1+11.6+0.3+74.3+27.7+86+28.9+58.7+133.8+815+170.1+337.9</f>
        <v>20509.299999999992</v>
      </c>
      <c r="E89" s="3">
        <f>D89/D144*100</f>
        <v>4.919871248979888</v>
      </c>
      <c r="F89" s="3">
        <f aca="true" t="shared" si="10" ref="F89:F95">D89/B89*100</f>
        <v>82.41896464423205</v>
      </c>
      <c r="G89" s="3">
        <f t="shared" si="8"/>
        <v>42.0754511828098</v>
      </c>
      <c r="H89" s="3">
        <f aca="true" t="shared" si="11" ref="H89:H95">B89-D89</f>
        <v>4374.900000000009</v>
      </c>
      <c r="I89" s="3">
        <f t="shared" si="9"/>
        <v>28234.800000000007</v>
      </c>
    </row>
    <row r="90" spans="1:9" ht="18">
      <c r="A90" s="29" t="s">
        <v>3</v>
      </c>
      <c r="B90" s="49">
        <v>20057.1</v>
      </c>
      <c r="C90" s="50">
        <v>39638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</f>
        <v>17593.9</v>
      </c>
      <c r="E90" s="1">
        <f>D90/D89*100</f>
        <v>85.78498534811041</v>
      </c>
      <c r="F90" s="1">
        <f t="shared" si="10"/>
        <v>87.71906207776799</v>
      </c>
      <c r="G90" s="1">
        <f t="shared" si="8"/>
        <v>44.386447348503964</v>
      </c>
      <c r="H90" s="1">
        <f t="shared" si="11"/>
        <v>2463.199999999997</v>
      </c>
      <c r="I90" s="1">
        <f t="shared" si="9"/>
        <v>22044.1</v>
      </c>
    </row>
    <row r="91" spans="1:9" ht="18">
      <c r="A91" s="29" t="s">
        <v>33</v>
      </c>
      <c r="B91" s="49">
        <v>1325.5</v>
      </c>
      <c r="C91" s="50">
        <f>2406.5+168.6</f>
        <v>2575.1</v>
      </c>
      <c r="D91" s="51">
        <f>15.4+0.6+1.6+3.7+2.5+4.3+0.4+4.2+0.8+56.6+102.4+16.1+0.1+47.1+38.8+64+59.3+87.7+34.7+0.6+1.8+42.3+4.4+28.7+17.2+4.1-0.1+9.5+0.7+0.1+0.5+30</f>
        <v>680.1</v>
      </c>
      <c r="E91" s="1">
        <f>D91/D89*100</f>
        <v>3.316056618217103</v>
      </c>
      <c r="F91" s="1">
        <f t="shared" si="10"/>
        <v>51.30894002263297</v>
      </c>
      <c r="G91" s="1">
        <f t="shared" si="8"/>
        <v>26.410624830103686</v>
      </c>
      <c r="H91" s="1">
        <f t="shared" si="11"/>
        <v>645.4</v>
      </c>
      <c r="I91" s="1">
        <f t="shared" si="9"/>
        <v>1895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35</v>
      </c>
      <c r="B93" s="50">
        <f>B89-B90-B91-B92</f>
        <v>3501.600000000002</v>
      </c>
      <c r="C93" s="50">
        <f>C89-C90-C91-C92</f>
        <v>6530.999999999998</v>
      </c>
      <c r="D93" s="50">
        <f>D89-D90-D91-D92</f>
        <v>2235.2999999999906</v>
      </c>
      <c r="E93" s="1">
        <f>D93/D89*100</f>
        <v>10.898958033672487</v>
      </c>
      <c r="F93" s="1">
        <f t="shared" si="10"/>
        <v>63.83653187114431</v>
      </c>
      <c r="G93" s="1">
        <f>D93/C93*100</f>
        <v>34.225999081304415</v>
      </c>
      <c r="H93" s="1">
        <f t="shared" si="11"/>
        <v>1266.3000000000116</v>
      </c>
      <c r="I93" s="1">
        <f>C93-D93</f>
        <v>4295.700000000008</v>
      </c>
    </row>
    <row r="94" spans="1:9" ht="18.75">
      <c r="A94" s="122" t="s">
        <v>12</v>
      </c>
      <c r="B94" s="127">
        <v>27500.6</v>
      </c>
      <c r="C94" s="129">
        <f>48638.3+1900-424</f>
        <v>50114.3</v>
      </c>
      <c r="D94" s="128">
        <f>3479.6+8.1+4.1+53.2+1101.8+1997.1+228.6+3048.1+0.1+314.6+1021.4+1907+2.5+299.7+94.1+2183.5+8+2623.6+342.3+2.2+8.5+1.3+1.6+10.6+34.2+57.7+70.3+17.2+208.3+74.7+207.6+2728.6+200.9+23.9+266.8+7.4+4.8+52.9+119.5+63.8+2594.9+200.2+13+112.1+15.7</f>
        <v>25816.100000000002</v>
      </c>
      <c r="E94" s="121">
        <f>D94/D144*100</f>
        <v>6.19289240250958</v>
      </c>
      <c r="F94" s="125">
        <f t="shared" si="10"/>
        <v>93.8746790979106</v>
      </c>
      <c r="G94" s="120">
        <f>D94/C94*100</f>
        <v>51.514437994744014</v>
      </c>
      <c r="H94" s="126">
        <f t="shared" si="11"/>
        <v>1684.4999999999964</v>
      </c>
      <c r="I94" s="121">
        <f>C94-D94</f>
        <v>24298.2</v>
      </c>
    </row>
    <row r="95" spans="1:9" ht="18.75" thickBot="1">
      <c r="A95" s="123" t="s">
        <v>110</v>
      </c>
      <c r="B95" s="130">
        <v>2370</v>
      </c>
      <c r="C95" s="131">
        <v>4853.7</v>
      </c>
      <c r="D95" s="132">
        <f>600+69+9+48.5+2.5+299.7+50.5+190.4+1.3+10.6+6.7+53.3-0.1+0.9+266.8+7.4+4.8+52.9+0.1+200.2+15.7</f>
        <v>1890.2000000000003</v>
      </c>
      <c r="E95" s="133">
        <f>D95/D94*100</f>
        <v>7.32178756667351</v>
      </c>
      <c r="F95" s="134">
        <f t="shared" si="10"/>
        <v>79.75527426160338</v>
      </c>
      <c r="G95" s="135">
        <f>D95/C95*100</f>
        <v>38.94348641242764</v>
      </c>
      <c r="H95" s="124">
        <f t="shared" si="11"/>
        <v>479.7999999999997</v>
      </c>
      <c r="I95" s="96">
        <f>C95-D95</f>
        <v>2963.4999999999995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46</v>
      </c>
      <c r="B97" s="75"/>
      <c r="C97" s="76"/>
      <c r="D97" s="77"/>
      <c r="E97" s="3">
        <f>D97/D144*100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66</v>
      </c>
      <c r="B99" s="61"/>
      <c r="C99" s="53"/>
      <c r="D99" s="54"/>
      <c r="E99" s="3">
        <f>D99/D144*100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4698.2</v>
      </c>
      <c r="C101" s="104">
        <f>6061.2+4589.8-16.4-3.1</f>
        <v>10631.5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</f>
        <v>2648.5999999999995</v>
      </c>
      <c r="E101" s="25">
        <f>D101/D144*100</f>
        <v>0.6353591292754084</v>
      </c>
      <c r="F101" s="25">
        <f>D101/B101*100</f>
        <v>56.37478183133965</v>
      </c>
      <c r="G101" s="25">
        <f aca="true" t="shared" si="12" ref="G101:G142">D101/C101*100</f>
        <v>24.91275925316277</v>
      </c>
      <c r="H101" s="25">
        <f aca="true" t="shared" si="13" ref="H101:H106">B101-D101</f>
        <v>2049.6000000000004</v>
      </c>
      <c r="I101" s="25">
        <f aca="true" t="shared" si="14" ref="I101:I142">C101-D101</f>
        <v>7982.900000000001</v>
      </c>
    </row>
    <row r="102" spans="1:9" ht="18" hidden="1">
      <c r="A102" s="91" t="s">
        <v>64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63</v>
      </c>
      <c r="B103" s="81">
        <v>4255.1</v>
      </c>
      <c r="C103" s="51">
        <f>5036.9+4586-16.4-3.1</f>
        <v>9603.4</v>
      </c>
      <c r="D103" s="51">
        <f>110.3+80.7+66.2+32.9+19.7+106.6+21.7+3.9+5.8+27.6+127.6+1.1+0.1+13.7+10.7+3.3+110.8+21.4+3.1+2+132.8+20.9+0.1+78+20.6+33.3+130.5+62.7+21+24.6+165.3+8.1+5.9+105.3+20.3+100.8+1.7+215.8+10+30.4+80.1+25.4+112.7+79.8+28.5+103.5</f>
        <v>2387.2999999999997</v>
      </c>
      <c r="E103" s="1">
        <f>D103/D101*100</f>
        <v>90.13441063203203</v>
      </c>
      <c r="F103" s="1">
        <f aca="true" t="shared" si="15" ref="F103:F142">D103/B103*100</f>
        <v>56.10443937862799</v>
      </c>
      <c r="G103" s="1">
        <f t="shared" si="12"/>
        <v>24.858904138117747</v>
      </c>
      <c r="H103" s="1">
        <f t="shared" si="13"/>
        <v>1867.8000000000006</v>
      </c>
      <c r="I103" s="1">
        <f t="shared" si="14"/>
        <v>7216.1</v>
      </c>
    </row>
    <row r="104" spans="1:9" ht="54.75" hidden="1" thickBot="1">
      <c r="A104" s="98" t="s">
        <v>101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35</v>
      </c>
      <c r="B105" s="100">
        <f>B101-B102-B103</f>
        <v>443.09999999999945</v>
      </c>
      <c r="C105" s="100">
        <f>C101-C102-C103</f>
        <v>1028.1000000000004</v>
      </c>
      <c r="D105" s="100">
        <f>D101-D102-D103</f>
        <v>261.2999999999997</v>
      </c>
      <c r="E105" s="96">
        <f>D105/D101*100</f>
        <v>9.865589367967974</v>
      </c>
      <c r="F105" s="96">
        <f t="shared" si="15"/>
        <v>58.970886932972256</v>
      </c>
      <c r="G105" s="96">
        <f t="shared" si="12"/>
        <v>25.415815582141782</v>
      </c>
      <c r="H105" s="96">
        <f>B105-D105</f>
        <v>181.79999999999973</v>
      </c>
      <c r="I105" s="96">
        <f t="shared" si="14"/>
        <v>766.8000000000006</v>
      </c>
    </row>
    <row r="106" spans="1:9" s="2" customFormat="1" ht="26.25" customHeight="1" thickBot="1">
      <c r="A106" s="92" t="s">
        <v>36</v>
      </c>
      <c r="B106" s="93">
        <f>SUM(B107:B141)-B114-B118+B142-B134-B135-B108-B111-B121-B122-B132</f>
        <v>74695.40000000001</v>
      </c>
      <c r="C106" s="93">
        <f>SUM(C107:C141)-C114-C118+C142-C134-C135-C108-C111-C121-C122-C132</f>
        <v>149613.8</v>
      </c>
      <c r="D106" s="93">
        <f>SUM(D107:D141)-D114-D118+D142-D134-D135-D108-D111-D121-D122-D132</f>
        <v>65272.299999999996</v>
      </c>
      <c r="E106" s="94">
        <f>D106/D144*100</f>
        <v>15.657838742657724</v>
      </c>
      <c r="F106" s="94">
        <f>D106/B106*100</f>
        <v>87.3846314498617</v>
      </c>
      <c r="G106" s="94">
        <f t="shared" si="12"/>
        <v>43.62719214404019</v>
      </c>
      <c r="H106" s="94">
        <f t="shared" si="13"/>
        <v>9423.100000000013</v>
      </c>
      <c r="I106" s="94">
        <f t="shared" si="14"/>
        <v>84341.5</v>
      </c>
    </row>
    <row r="107" spans="1:9" ht="37.5">
      <c r="A107" s="34" t="s">
        <v>67</v>
      </c>
      <c r="B107" s="78">
        <v>1046.4</v>
      </c>
      <c r="C107" s="74">
        <f>1662.5+137.3</f>
        <v>1799.8</v>
      </c>
      <c r="D107" s="79">
        <f>114.2+9+1.8-0.1+90.7+22.4+38.1+76.9+3.3+8.3+1.4+33.8+39+2.5+0.1+67.3+0.2+4+0.9+2.5+0.8+0.4+3.1+0.1+83.9+1.4+0.8+11.2+0.6+1.6+3.2+0.1+20.5+2.5+1.1+0.8</f>
        <v>648.4000000000001</v>
      </c>
      <c r="E107" s="6">
        <f>D107/D106*100</f>
        <v>0.9933769761445517</v>
      </c>
      <c r="F107" s="6">
        <f t="shared" si="15"/>
        <v>61.96483180428135</v>
      </c>
      <c r="G107" s="6">
        <f t="shared" si="12"/>
        <v>36.02622513612624</v>
      </c>
      <c r="H107" s="6">
        <f aca="true" t="shared" si="16" ref="H107:H142">B107-D107</f>
        <v>398</v>
      </c>
      <c r="I107" s="6">
        <f t="shared" si="14"/>
        <v>1151.3999999999999</v>
      </c>
    </row>
    <row r="108" spans="1:9" ht="18">
      <c r="A108" s="29" t="s">
        <v>33</v>
      </c>
      <c r="B108" s="81">
        <v>451.9</v>
      </c>
      <c r="C108" s="51">
        <v>823.7</v>
      </c>
      <c r="D108" s="82">
        <f>96.8+90.7+64.1+48.5+58.1+15.9</f>
        <v>374.1</v>
      </c>
      <c r="E108" s="1"/>
      <c r="F108" s="1">
        <f t="shared" si="15"/>
        <v>82.7838017260456</v>
      </c>
      <c r="G108" s="1">
        <f t="shared" si="12"/>
        <v>45.417020759985434</v>
      </c>
      <c r="H108" s="1">
        <f t="shared" si="16"/>
        <v>77.79999999999995</v>
      </c>
      <c r="I108" s="1">
        <f t="shared" si="14"/>
        <v>449.6</v>
      </c>
    </row>
    <row r="109" spans="1:9" ht="34.5" customHeight="1">
      <c r="A109" s="17" t="s">
        <v>100</v>
      </c>
      <c r="B109" s="80">
        <v>467.4</v>
      </c>
      <c r="C109" s="68">
        <v>903.8</v>
      </c>
      <c r="D109" s="79">
        <f>20.7+31.6+0.1+27.7-0.1+31.4+0.1+10.6+34.1</f>
        <v>156.2</v>
      </c>
      <c r="E109" s="6">
        <f>D109/D106*100</f>
        <v>0.23930518765234257</v>
      </c>
      <c r="F109" s="6">
        <f>D109/B109*100</f>
        <v>33.41891313649978</v>
      </c>
      <c r="G109" s="6">
        <f t="shared" si="12"/>
        <v>17.28258464262005</v>
      </c>
      <c r="H109" s="6">
        <f t="shared" si="16"/>
        <v>311.2</v>
      </c>
      <c r="I109" s="6">
        <f t="shared" si="14"/>
        <v>747.5999999999999</v>
      </c>
    </row>
    <row r="110" spans="1:9" s="44" customFormat="1" ht="34.5" customHeight="1">
      <c r="A110" s="17" t="s">
        <v>75</v>
      </c>
      <c r="B110" s="80">
        <v>51.1</v>
      </c>
      <c r="C110" s="60">
        <f>71.8+12.8</f>
        <v>84.6</v>
      </c>
      <c r="D110" s="83">
        <f>5.3+5.3+0.5+1.7+6</f>
        <v>18.799999999999997</v>
      </c>
      <c r="E110" s="6">
        <f>D110/D106*100</f>
        <v>0.028802416951754416</v>
      </c>
      <c r="F110" s="6">
        <f t="shared" si="15"/>
        <v>36.790606653620344</v>
      </c>
      <c r="G110" s="6">
        <f t="shared" si="12"/>
        <v>22.22222222222222</v>
      </c>
      <c r="H110" s="6">
        <f t="shared" si="16"/>
        <v>32.300000000000004</v>
      </c>
      <c r="I110" s="6">
        <f t="shared" si="14"/>
        <v>65.8</v>
      </c>
    </row>
    <row r="111" spans="1:9" ht="18" hidden="1">
      <c r="A111" s="29" t="s">
        <v>33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74</v>
      </c>
      <c r="B112" s="80">
        <v>33.6</v>
      </c>
      <c r="C112" s="68">
        <v>67.4</v>
      </c>
      <c r="D112" s="79">
        <f>5.5+5.4+5.5+5.5+5.5</f>
        <v>27.4</v>
      </c>
      <c r="E112" s="6">
        <f>D112/D106*100</f>
        <v>0.04197799066372719</v>
      </c>
      <c r="F112" s="6">
        <f t="shared" si="15"/>
        <v>81.54761904761904</v>
      </c>
      <c r="G112" s="6">
        <f t="shared" si="12"/>
        <v>40.65281899109792</v>
      </c>
      <c r="H112" s="6">
        <f t="shared" si="16"/>
        <v>6.200000000000003</v>
      </c>
      <c r="I112" s="6">
        <f t="shared" si="14"/>
        <v>40.00000000000001</v>
      </c>
    </row>
    <row r="113" spans="1:9" ht="37.5">
      <c r="A113" s="17" t="s">
        <v>47</v>
      </c>
      <c r="B113" s="80">
        <v>805</v>
      </c>
      <c r="C113" s="68">
        <v>1532.5</v>
      </c>
      <c r="D113" s="79">
        <f>96.4+0.6+6.3+86+10.4+21.5+5.3+0.1+11.6+102.1+10.6+3.5+5.6+100.7+13.3+0.9+3.6+96.9-0.1+15.7</f>
        <v>591.0000000000001</v>
      </c>
      <c r="E113" s="6">
        <f>D113/D106*100</f>
        <v>0.9054376818344078</v>
      </c>
      <c r="F113" s="6">
        <f t="shared" si="15"/>
        <v>73.416149068323</v>
      </c>
      <c r="G113" s="6">
        <f t="shared" si="12"/>
        <v>38.56443719412725</v>
      </c>
      <c r="H113" s="6">
        <f t="shared" si="16"/>
        <v>213.9999999999999</v>
      </c>
      <c r="I113" s="6">
        <f t="shared" si="14"/>
        <v>941.4999999999999</v>
      </c>
    </row>
    <row r="114" spans="1:9" ht="18" hidden="1">
      <c r="A114" s="40" t="s">
        <v>54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60</v>
      </c>
      <c r="B115" s="80">
        <v>36</v>
      </c>
      <c r="C115" s="60">
        <v>36</v>
      </c>
      <c r="D115" s="83">
        <v>36</v>
      </c>
      <c r="E115" s="19">
        <f>D115/D106*100</f>
        <v>0.05515356437569995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59</v>
      </c>
      <c r="B116" s="80">
        <v>196.7</v>
      </c>
      <c r="C116" s="68">
        <v>245.2</v>
      </c>
      <c r="D116" s="79">
        <f>19.1</f>
        <v>19.1</v>
      </c>
      <c r="E116" s="6">
        <f>D116/D106*100</f>
        <v>0.029262029988218592</v>
      </c>
      <c r="F116" s="6">
        <f>D116/B116*100</f>
        <v>9.710218607015761</v>
      </c>
      <c r="G116" s="6">
        <f t="shared" si="12"/>
        <v>7.789559543230016</v>
      </c>
      <c r="H116" s="6">
        <f t="shared" si="16"/>
        <v>177.6</v>
      </c>
      <c r="I116" s="6">
        <f t="shared" si="14"/>
        <v>226.1</v>
      </c>
    </row>
    <row r="117" spans="1:9" s="2" customFormat="1" ht="18.75">
      <c r="A117" s="17" t="s">
        <v>16</v>
      </c>
      <c r="B117" s="80">
        <v>114.5</v>
      </c>
      <c r="C117" s="60">
        <f>199.6+4.8</f>
        <v>204.4</v>
      </c>
      <c r="D117" s="79">
        <f>1.6+18.3+17.8+0.8+2.2+4+0.6+16.7+3.7+3.6+16.7+3.4+1.3+16.7+2.9</f>
        <v>110.30000000000001</v>
      </c>
      <c r="E117" s="6">
        <f>D117/D106*100</f>
        <v>0.16898439307332516</v>
      </c>
      <c r="F117" s="6">
        <f t="shared" si="15"/>
        <v>96.33187772925766</v>
      </c>
      <c r="G117" s="6">
        <f t="shared" si="12"/>
        <v>53.9628180039139</v>
      </c>
      <c r="H117" s="6">
        <f t="shared" si="16"/>
        <v>4.199999999999989</v>
      </c>
      <c r="I117" s="6">
        <f t="shared" si="14"/>
        <v>94.1</v>
      </c>
    </row>
    <row r="118" spans="1:9" s="39" customFormat="1" ht="18">
      <c r="A118" s="40" t="s">
        <v>54</v>
      </c>
      <c r="B118" s="81">
        <v>83.6</v>
      </c>
      <c r="C118" s="51">
        <v>150.8</v>
      </c>
      <c r="D118" s="82">
        <f>16.7+16.7+16.7+16.7+16.7</f>
        <v>83.5</v>
      </c>
      <c r="E118" s="1"/>
      <c r="F118" s="1">
        <f t="shared" si="15"/>
        <v>99.88038277511963</v>
      </c>
      <c r="G118" s="1">
        <f t="shared" si="12"/>
        <v>55.37135278514589</v>
      </c>
      <c r="H118" s="1">
        <f t="shared" si="16"/>
        <v>0.09999999999999432</v>
      </c>
      <c r="I118" s="1">
        <f t="shared" si="14"/>
        <v>67.30000000000001</v>
      </c>
    </row>
    <row r="119" spans="1:9" s="2" customFormat="1" ht="18.75">
      <c r="A119" s="17" t="s">
        <v>25</v>
      </c>
      <c r="B119" s="80">
        <v>964.6</v>
      </c>
      <c r="C119" s="60">
        <f>1468.8+249.6</f>
        <v>1718.3999999999999</v>
      </c>
      <c r="D119" s="79">
        <f>249.6+108.7+40</f>
        <v>398.3</v>
      </c>
      <c r="E119" s="6">
        <f>D119/D106*100</f>
        <v>0.6102129080789248</v>
      </c>
      <c r="F119" s="6">
        <f t="shared" si="15"/>
        <v>41.29172714078375</v>
      </c>
      <c r="G119" s="6">
        <f t="shared" si="12"/>
        <v>23.178538175046555</v>
      </c>
      <c r="H119" s="6">
        <f t="shared" si="16"/>
        <v>566.3</v>
      </c>
      <c r="I119" s="6">
        <f t="shared" si="14"/>
        <v>1320.1</v>
      </c>
    </row>
    <row r="120" spans="1:9" s="2" customFormat="1" ht="21.75" customHeight="1">
      <c r="A120" s="17" t="s">
        <v>45</v>
      </c>
      <c r="B120" s="80">
        <v>1241.4</v>
      </c>
      <c r="C120" s="60">
        <f>628+70+553</f>
        <v>1251</v>
      </c>
      <c r="D120" s="83">
        <f>110.6+553</f>
        <v>663.6</v>
      </c>
      <c r="E120" s="19">
        <f>D120/D106*100</f>
        <v>1.0166640366587358</v>
      </c>
      <c r="F120" s="6">
        <f t="shared" si="15"/>
        <v>53.45577573707104</v>
      </c>
      <c r="G120" s="6">
        <f t="shared" si="12"/>
        <v>53.04556354916067</v>
      </c>
      <c r="H120" s="6">
        <f t="shared" si="16"/>
        <v>577.8000000000001</v>
      </c>
      <c r="I120" s="6">
        <f t="shared" si="14"/>
        <v>587.4</v>
      </c>
    </row>
    <row r="121" spans="1:9" s="115" customFormat="1" ht="18">
      <c r="A121" s="29" t="s">
        <v>102</v>
      </c>
      <c r="B121" s="81">
        <v>70</v>
      </c>
      <c r="C121" s="51">
        <v>70</v>
      </c>
      <c r="D121" s="82"/>
      <c r="E121" s="6"/>
      <c r="F121" s="1">
        <f>D121/B121*100</f>
        <v>0</v>
      </c>
      <c r="G121" s="1">
        <f t="shared" si="12"/>
        <v>0</v>
      </c>
      <c r="H121" s="1">
        <f t="shared" si="16"/>
        <v>70</v>
      </c>
      <c r="I121" s="1">
        <f t="shared" si="14"/>
        <v>70</v>
      </c>
    </row>
    <row r="122" spans="1:9" s="115" customFormat="1" ht="18" hidden="1">
      <c r="A122" s="29" t="s">
        <v>64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49</v>
      </c>
      <c r="B123" s="80">
        <v>1263.9</v>
      </c>
      <c r="C123" s="60">
        <v>2933.8</v>
      </c>
      <c r="D123" s="83">
        <f>21+0.9+174.2+5+11.4+16.5-0.1</f>
        <v>228.9</v>
      </c>
      <c r="E123" s="19">
        <f>D123/D106*100</f>
        <v>0.3506847468221589</v>
      </c>
      <c r="F123" s="6">
        <f t="shared" si="15"/>
        <v>18.11061001661524</v>
      </c>
      <c r="G123" s="6">
        <f t="shared" si="12"/>
        <v>7.802167836935032</v>
      </c>
      <c r="H123" s="6">
        <f t="shared" si="16"/>
        <v>1035</v>
      </c>
      <c r="I123" s="6">
        <f t="shared" si="14"/>
        <v>2704.9</v>
      </c>
    </row>
    <row r="124" spans="1:9" s="2" customFormat="1" ht="56.25">
      <c r="A124" s="17" t="s">
        <v>56</v>
      </c>
      <c r="B124" s="80">
        <v>129.9</v>
      </c>
      <c r="C124" s="60">
        <v>129.9</v>
      </c>
      <c r="D124" s="83">
        <v>129.9</v>
      </c>
      <c r="E124" s="19">
        <f>D124/D106*100</f>
        <v>0.199012444788984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98</v>
      </c>
      <c r="B125" s="80">
        <v>2</v>
      </c>
      <c r="C125" s="60">
        <v>2</v>
      </c>
      <c r="D125" s="83">
        <v>2</v>
      </c>
      <c r="E125" s="19">
        <f>D125/D106*100</f>
        <v>0.003064086909761109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113</v>
      </c>
      <c r="B126" s="80">
        <v>332.3</v>
      </c>
      <c r="C126" s="60">
        <v>332.3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332.3</v>
      </c>
      <c r="I126" s="6">
        <f t="shared" si="14"/>
        <v>332.3</v>
      </c>
    </row>
    <row r="127" spans="1:9" s="2" customFormat="1" ht="37.5">
      <c r="A127" s="17" t="s">
        <v>78</v>
      </c>
      <c r="B127" s="80">
        <v>99.5</v>
      </c>
      <c r="C127" s="60">
        <f>101.4+27.9</f>
        <v>129.3</v>
      </c>
      <c r="D127" s="83">
        <f>3+3+4.9+21.9-0.1+12.2+1.6+6.9+7.8+0.7+8.4+2.4+5+2.4+0.1</f>
        <v>80.2</v>
      </c>
      <c r="E127" s="19">
        <f>D127/D106*100</f>
        <v>0.12286988508142045</v>
      </c>
      <c r="F127" s="6">
        <f t="shared" si="15"/>
        <v>80.60301507537689</v>
      </c>
      <c r="G127" s="6">
        <f t="shared" si="12"/>
        <v>62.02629543696829</v>
      </c>
      <c r="H127" s="6">
        <f t="shared" si="16"/>
        <v>19.299999999999997</v>
      </c>
      <c r="I127" s="6">
        <f t="shared" si="14"/>
        <v>49.10000000000001</v>
      </c>
    </row>
    <row r="128" spans="1:9" s="2" customFormat="1" ht="18.75">
      <c r="A128" s="17" t="s">
        <v>72</v>
      </c>
      <c r="B128" s="80">
        <v>327.8</v>
      </c>
      <c r="C128" s="60">
        <v>650</v>
      </c>
      <c r="D128" s="83">
        <f>8.7+23.6+6.2+5.1+38.5+4.6+4.8+8.6+12.9+2.8+0.1+16.2+3+2.5</f>
        <v>137.59999999999997</v>
      </c>
      <c r="E128" s="19">
        <f>D128/D106*100</f>
        <v>0.21080917939156424</v>
      </c>
      <c r="F128" s="6">
        <f t="shared" si="15"/>
        <v>41.97681513117754</v>
      </c>
      <c r="G128" s="6">
        <f t="shared" si="12"/>
        <v>21.169230769230765</v>
      </c>
      <c r="H128" s="6">
        <f t="shared" si="16"/>
        <v>190.20000000000005</v>
      </c>
      <c r="I128" s="6">
        <f t="shared" si="14"/>
        <v>512.4000000000001</v>
      </c>
    </row>
    <row r="129" spans="1:9" s="2" customFormat="1" ht="35.25" customHeight="1">
      <c r="A129" s="17" t="s">
        <v>71</v>
      </c>
      <c r="B129" s="80">
        <v>61.5</v>
      </c>
      <c r="C129" s="60">
        <f>171.5+14.8-110</f>
        <v>76.30000000000001</v>
      </c>
      <c r="D129" s="83">
        <f>5.6+5.6+3.5+1.3+1.8+0.1+2.5</f>
        <v>20.400000000000002</v>
      </c>
      <c r="E129" s="19">
        <f>D129/D106*100</f>
        <v>0.031253686479563315</v>
      </c>
      <c r="F129" s="6">
        <f t="shared" si="15"/>
        <v>33.170731707317074</v>
      </c>
      <c r="G129" s="6">
        <f t="shared" si="12"/>
        <v>26.736566186107467</v>
      </c>
      <c r="H129" s="6">
        <f t="shared" si="16"/>
        <v>41.099999999999994</v>
      </c>
      <c r="I129" s="6">
        <f t="shared" si="14"/>
        <v>55.900000000000006</v>
      </c>
    </row>
    <row r="130" spans="1:9" s="2" customFormat="1" ht="35.25" customHeight="1">
      <c r="A130" s="17" t="s">
        <v>73</v>
      </c>
      <c r="B130" s="80">
        <v>20</v>
      </c>
      <c r="C130" s="60">
        <v>220</v>
      </c>
      <c r="D130" s="83"/>
      <c r="E130" s="19">
        <f>D130/D106*100</f>
        <v>0</v>
      </c>
      <c r="F130" s="117">
        <f t="shared" si="15"/>
        <v>0</v>
      </c>
      <c r="G130" s="6">
        <f t="shared" si="12"/>
        <v>0</v>
      </c>
      <c r="H130" s="6">
        <f t="shared" si="16"/>
        <v>20</v>
      </c>
      <c r="I130" s="6">
        <f t="shared" si="14"/>
        <v>220</v>
      </c>
    </row>
    <row r="131" spans="1:9" s="2" customFormat="1" ht="37.5">
      <c r="A131" s="17" t="s">
        <v>112</v>
      </c>
      <c r="B131" s="80">
        <v>265.1</v>
      </c>
      <c r="C131" s="60">
        <v>265.1</v>
      </c>
      <c r="D131" s="83">
        <f>59.9+7.6+10.7+6.3+5.3</f>
        <v>89.8</v>
      </c>
      <c r="E131" s="19">
        <f>D131/D106*100</f>
        <v>0.13757750224827378</v>
      </c>
      <c r="F131" s="6">
        <f t="shared" si="15"/>
        <v>33.874009807619764</v>
      </c>
      <c r="G131" s="6">
        <f>D131/C131*100</f>
        <v>33.874009807619764</v>
      </c>
      <c r="H131" s="6">
        <f t="shared" si="16"/>
        <v>175.3</v>
      </c>
      <c r="I131" s="6">
        <f t="shared" si="14"/>
        <v>175.3</v>
      </c>
    </row>
    <row r="132" spans="1:9" s="39" customFormat="1" ht="18">
      <c r="A132" s="29" t="s">
        <v>33</v>
      </c>
      <c r="B132" s="81">
        <v>64.2</v>
      </c>
      <c r="C132" s="51">
        <v>64.2</v>
      </c>
      <c r="D132" s="82">
        <f>7.6+0.3+4.8</f>
        <v>12.7</v>
      </c>
      <c r="E132" s="1"/>
      <c r="F132" s="1">
        <f t="shared" si="15"/>
        <v>19.781931464174452</v>
      </c>
      <c r="G132" s="1">
        <f>D132/C132*100</f>
        <v>19.781931464174452</v>
      </c>
      <c r="H132" s="1">
        <f t="shared" si="16"/>
        <v>51.5</v>
      </c>
      <c r="I132" s="1">
        <f t="shared" si="14"/>
        <v>51.5</v>
      </c>
    </row>
    <row r="133" spans="1:9" s="2" customFormat="1" ht="18.75">
      <c r="A133" s="17" t="s">
        <v>32</v>
      </c>
      <c r="B133" s="80">
        <v>499.1</v>
      </c>
      <c r="C133" s="60">
        <f>981.9+3.8</f>
        <v>985.6999999999999</v>
      </c>
      <c r="D133" s="83">
        <f>21.9+41.8+0.1+6.1+26+3.6+0.1+41-0.1+21.3+6.2+7.1+43.4+4.5+8.8+48.5+7.5+32.1+0.1+41.9+8.4+5.1+33.1+1.3+25.6</f>
        <v>435.40000000000003</v>
      </c>
      <c r="E133" s="19">
        <f>D133/D106*100</f>
        <v>0.6670517202549934</v>
      </c>
      <c r="F133" s="6">
        <f t="shared" si="15"/>
        <v>87.23702664796635</v>
      </c>
      <c r="G133" s="6">
        <f t="shared" si="12"/>
        <v>44.17165466166177</v>
      </c>
      <c r="H133" s="6">
        <f t="shared" si="16"/>
        <v>63.69999999999999</v>
      </c>
      <c r="I133" s="6">
        <f t="shared" si="14"/>
        <v>550.3</v>
      </c>
    </row>
    <row r="134" spans="1:9" s="39" customFormat="1" ht="18">
      <c r="A134" s="40" t="s">
        <v>54</v>
      </c>
      <c r="B134" s="81">
        <v>423.1</v>
      </c>
      <c r="C134" s="51">
        <v>848.7</v>
      </c>
      <c r="D134" s="82">
        <f>21.9+39.7+0.1+6.1+19+41-0.1+21.3+43.3+8.5+32.3+32.1+41.5+4.2+33.1+25.6</f>
        <v>369.6000000000001</v>
      </c>
      <c r="E134" s="1">
        <f>D134/D133*100</f>
        <v>84.88745980707397</v>
      </c>
      <c r="F134" s="1">
        <f aca="true" t="shared" si="17" ref="F134:F141">D134/B134*100</f>
        <v>87.3552351689908</v>
      </c>
      <c r="G134" s="1">
        <f t="shared" si="12"/>
        <v>43.548957228702726</v>
      </c>
      <c r="H134" s="1">
        <f t="shared" si="16"/>
        <v>53.49999999999994</v>
      </c>
      <c r="I134" s="1">
        <f t="shared" si="14"/>
        <v>479.09999999999997</v>
      </c>
    </row>
    <row r="135" spans="1:9" s="39" customFormat="1" ht="18">
      <c r="A135" s="29" t="s">
        <v>33</v>
      </c>
      <c r="B135" s="81">
        <v>21.5</v>
      </c>
      <c r="C135" s="51">
        <v>26.3</v>
      </c>
      <c r="D135" s="82">
        <f>7+6+0.2+7.1+0.1+0.4+0.3</f>
        <v>21.099999999999998</v>
      </c>
      <c r="E135" s="1">
        <f>D135/D133*100</f>
        <v>4.8461185117133665</v>
      </c>
      <c r="F135" s="1">
        <f t="shared" si="17"/>
        <v>98.13953488372093</v>
      </c>
      <c r="G135" s="1">
        <f>D135/C135*100</f>
        <v>80.22813688212926</v>
      </c>
      <c r="H135" s="1">
        <f t="shared" si="16"/>
        <v>0.40000000000000213</v>
      </c>
      <c r="I135" s="1">
        <f t="shared" si="14"/>
        <v>5.200000000000003</v>
      </c>
    </row>
    <row r="136" spans="1:9" s="2" customFormat="1" ht="56.25">
      <c r="A136" s="23" t="s">
        <v>114</v>
      </c>
      <c r="B136" s="80">
        <v>200</v>
      </c>
      <c r="C136" s="60">
        <v>200</v>
      </c>
      <c r="D136" s="83"/>
      <c r="E136" s="19">
        <f>D136/D106*100</f>
        <v>0</v>
      </c>
      <c r="F136" s="112">
        <f t="shared" si="17"/>
        <v>0</v>
      </c>
      <c r="G136" s="6">
        <f t="shared" si="12"/>
        <v>0</v>
      </c>
      <c r="H136" s="6">
        <f t="shared" si="16"/>
        <v>200</v>
      </c>
      <c r="I136" s="6">
        <f t="shared" si="14"/>
        <v>200</v>
      </c>
    </row>
    <row r="137" spans="1:9" s="2" customFormat="1" ht="18.75">
      <c r="A137" s="23" t="s">
        <v>109</v>
      </c>
      <c r="B137" s="80">
        <v>1850</v>
      </c>
      <c r="C137" s="60">
        <f>6500-2076</f>
        <v>4424</v>
      </c>
      <c r="D137" s="83">
        <f>241.3</f>
        <v>241.3</v>
      </c>
      <c r="E137" s="19">
        <f>D137/D106*100</f>
        <v>0.3696820856626778</v>
      </c>
      <c r="F137" s="112">
        <f t="shared" si="17"/>
        <v>13.043243243243245</v>
      </c>
      <c r="G137" s="6">
        <f t="shared" si="12"/>
        <v>5.454339963833635</v>
      </c>
      <c r="H137" s="6">
        <f t="shared" si="16"/>
        <v>1608.7</v>
      </c>
      <c r="I137" s="6">
        <f t="shared" si="14"/>
        <v>4182.7</v>
      </c>
    </row>
    <row r="138" spans="1:9" s="2" customFormat="1" ht="18.75">
      <c r="A138" s="23" t="s">
        <v>111</v>
      </c>
      <c r="B138" s="80">
        <v>2994.8</v>
      </c>
      <c r="C138" s="60">
        <v>6082.6</v>
      </c>
      <c r="D138" s="83">
        <f>626.1+43.8+40.3+236+112.9+11.4-0.1+68.6+570.3+22.4</f>
        <v>1731.7</v>
      </c>
      <c r="E138" s="19">
        <f>D138/D106*100</f>
        <v>2.653039650816656</v>
      </c>
      <c r="F138" s="112">
        <f t="shared" si="17"/>
        <v>57.82356083878722</v>
      </c>
      <c r="G138" s="6">
        <f t="shared" si="12"/>
        <v>28.46973333771742</v>
      </c>
      <c r="H138" s="6">
        <f t="shared" si="16"/>
        <v>1263.1000000000001</v>
      </c>
      <c r="I138" s="6">
        <f t="shared" si="14"/>
        <v>4350.900000000001</v>
      </c>
    </row>
    <row r="139" spans="1:9" s="2" customFormat="1" ht="18.75">
      <c r="A139" s="17" t="s">
        <v>27</v>
      </c>
      <c r="B139" s="80">
        <v>4188</v>
      </c>
      <c r="C139" s="60">
        <v>8376</v>
      </c>
      <c r="D139" s="83">
        <f>2094+2094</f>
        <v>4188</v>
      </c>
      <c r="E139" s="19">
        <f>D139/D106*100</f>
        <v>6.416197989039761</v>
      </c>
      <c r="F139" s="112">
        <f t="shared" si="17"/>
        <v>100</v>
      </c>
      <c r="G139" s="6">
        <f t="shared" si="12"/>
        <v>50</v>
      </c>
      <c r="H139" s="6">
        <f t="shared" si="16"/>
        <v>0</v>
      </c>
      <c r="I139" s="6">
        <f t="shared" si="14"/>
        <v>4188</v>
      </c>
    </row>
    <row r="140" spans="1:12" s="2" customFormat="1" ht="18.75" customHeight="1">
      <c r="A140" s="17" t="s">
        <v>99</v>
      </c>
      <c r="B140" s="80">
        <v>538.2</v>
      </c>
      <c r="C140" s="60">
        <v>538.2</v>
      </c>
      <c r="D140" s="83">
        <f>507.8+15.4+15</f>
        <v>538.2</v>
      </c>
      <c r="E140" s="19">
        <f>D140/D106*100</f>
        <v>0.8245457874167145</v>
      </c>
      <c r="F140" s="112">
        <f t="shared" si="17"/>
        <v>100</v>
      </c>
      <c r="G140" s="6">
        <f t="shared" si="12"/>
        <v>100</v>
      </c>
      <c r="H140" s="6">
        <f t="shared" si="16"/>
        <v>0</v>
      </c>
      <c r="I140" s="6">
        <f t="shared" si="14"/>
        <v>0</v>
      </c>
      <c r="K140" s="45"/>
      <c r="L140" s="45"/>
    </row>
    <row r="141" spans="1:12" s="2" customFormat="1" ht="19.5" customHeight="1">
      <c r="A141" s="17" t="s">
        <v>65</v>
      </c>
      <c r="B141" s="80">
        <v>45834.8</v>
      </c>
      <c r="C141" s="60">
        <f>91632.1+2530</f>
        <v>94162.1</v>
      </c>
      <c r="D141" s="83">
        <f>500.9+20883.8+13804+7506.8+2189.4</f>
        <v>44884.9</v>
      </c>
      <c r="E141" s="19">
        <f>D141/D106*100</f>
        <v>68.7656172679682</v>
      </c>
      <c r="F141" s="6">
        <f t="shared" si="17"/>
        <v>97.92755722725963</v>
      </c>
      <c r="G141" s="6">
        <f t="shared" si="12"/>
        <v>47.66769220312631</v>
      </c>
      <c r="H141" s="6">
        <f t="shared" si="16"/>
        <v>949.9000000000015</v>
      </c>
      <c r="I141" s="6">
        <f t="shared" si="14"/>
        <v>49277.200000000004</v>
      </c>
      <c r="K141" s="103"/>
      <c r="L141" s="45"/>
    </row>
    <row r="142" spans="1:12" s="2" customFormat="1" ht="18.75">
      <c r="A142" s="17" t="s">
        <v>103</v>
      </c>
      <c r="B142" s="80">
        <v>11131.8</v>
      </c>
      <c r="C142" s="60">
        <v>22263.4</v>
      </c>
      <c r="D142" s="83">
        <f>1236.9+618.4+618.4+618.4+618.5+618.4+618.4+618.5+618.4+618.4+618.5+618.4+618.4+618.5+618.4</f>
        <v>9894.899999999998</v>
      </c>
      <c r="E142" s="19">
        <f>D142/D106*100</f>
        <v>15.159416781697594</v>
      </c>
      <c r="F142" s="6">
        <f t="shared" si="15"/>
        <v>88.8885894464507</v>
      </c>
      <c r="G142" s="6">
        <f t="shared" si="12"/>
        <v>44.44469398205125</v>
      </c>
      <c r="H142" s="6">
        <f t="shared" si="16"/>
        <v>1236.9000000000015</v>
      </c>
      <c r="I142" s="6">
        <f t="shared" si="14"/>
        <v>12368.500000000004</v>
      </c>
      <c r="K142" s="45"/>
      <c r="L142" s="45"/>
    </row>
    <row r="143" spans="1:12" s="2" customFormat="1" ht="19.5" thickBot="1">
      <c r="A143" s="41" t="s">
        <v>37</v>
      </c>
      <c r="B143" s="84">
        <f>B43+B68+B71+B76+B78+B86+B101+B106+B99+B83+B97</f>
        <v>80109.8</v>
      </c>
      <c r="C143" s="84">
        <f>C43+C68+C71+C76+C78+C86+C101+C106+C99+C83+C97</f>
        <v>162401.3</v>
      </c>
      <c r="D143" s="60">
        <f>D43+D68+D71+D76+D78+D86+D101+D106+D99+D83+D97</f>
        <v>68497.9</v>
      </c>
      <c r="E143" s="19"/>
      <c r="F143" s="19"/>
      <c r="G143" s="6"/>
      <c r="H143" s="6"/>
      <c r="I143" s="20"/>
      <c r="K143" s="45"/>
      <c r="L143" s="45"/>
    </row>
    <row r="144" spans="1:12" ht="19.5" thickBot="1">
      <c r="A144" s="14" t="s">
        <v>19</v>
      </c>
      <c r="B144" s="54">
        <f>B6+B18+B33+B43+B51+B58+B68+B71+B76+B78+B86+B89+B94+B101+B106+B99+B83+B97+B45</f>
        <v>471993.30000000005</v>
      </c>
      <c r="C144" s="54">
        <f>C6+C18+C33+C43+C51+C58+C68+C71+C76+C78+C86+C89+C94+C101+C106+C99+C83+C97+C45</f>
        <v>896182.6</v>
      </c>
      <c r="D144" s="54">
        <f>D6+D18+D33+D43+D51+D58+D68+D71+D76+D78+D86+D89+D94+D101+D106+D99+D83+D97+D45</f>
        <v>416866.6</v>
      </c>
      <c r="E144" s="38">
        <v>100</v>
      </c>
      <c r="F144" s="3">
        <f>D144/B144*100</f>
        <v>88.32044861653755</v>
      </c>
      <c r="G144" s="3">
        <f aca="true" t="shared" si="18" ref="G144:G150">D144/C144*100</f>
        <v>46.51581050558223</v>
      </c>
      <c r="H144" s="3">
        <f aca="true" t="shared" si="19" ref="H144:H150">B144-D144</f>
        <v>55126.70000000007</v>
      </c>
      <c r="I144" s="3">
        <f aca="true" t="shared" si="20" ref="I144:I150">C144-D144</f>
        <v>479316</v>
      </c>
      <c r="K144" s="46"/>
      <c r="L144" s="47"/>
    </row>
    <row r="145" spans="1:12" ht="18.75">
      <c r="A145" s="23" t="s">
        <v>5</v>
      </c>
      <c r="B145" s="67">
        <f>B8+B20+B34+B52+B59+B90+B114+B118+B46+B134</f>
        <v>272944.99999999994</v>
      </c>
      <c r="C145" s="67">
        <f>C8+C20+C34+C52+C59+C90+C114+C118+C46+C134</f>
        <v>507335.6</v>
      </c>
      <c r="D145" s="67">
        <f>D8+D20+D34+D52+D59+D90+D114+D118+D46+D134</f>
        <v>245008.89999999994</v>
      </c>
      <c r="E145" s="6">
        <f>D145/D144*100</f>
        <v>58.77393391554995</v>
      </c>
      <c r="F145" s="6">
        <f aca="true" t="shared" si="21" ref="F145:F156">D145/B145*100</f>
        <v>89.7649343274286</v>
      </c>
      <c r="G145" s="6">
        <f t="shared" si="18"/>
        <v>48.2932599249885</v>
      </c>
      <c r="H145" s="6">
        <f t="shared" si="19"/>
        <v>27936.100000000006</v>
      </c>
      <c r="I145" s="18">
        <f t="shared" si="20"/>
        <v>262326.70000000007</v>
      </c>
      <c r="K145" s="46"/>
      <c r="L145" s="47"/>
    </row>
    <row r="146" spans="1:12" ht="18.75">
      <c r="A146" s="23" t="s">
        <v>0</v>
      </c>
      <c r="B146" s="68">
        <f>B11+B23+B36+B55+B61+B91+B49+B135+B108+B111+B95+B132</f>
        <v>54640.399999999994</v>
      </c>
      <c r="C146" s="68">
        <f>C11+C23+C36+C55+C61+C91+C49+C135+C108+C111+C95+C132</f>
        <v>99330.7</v>
      </c>
      <c r="D146" s="68">
        <f>D11+D23+D36+D55+D61+D91+D49+D135+D108+D111+D95+D132</f>
        <v>50768.89999999999</v>
      </c>
      <c r="E146" s="6">
        <f>D146/D144*100</f>
        <v>12.1786921763461</v>
      </c>
      <c r="F146" s="6">
        <f t="shared" si="21"/>
        <v>92.91458334858454</v>
      </c>
      <c r="G146" s="6">
        <f t="shared" si="18"/>
        <v>51.11098582814778</v>
      </c>
      <c r="H146" s="6">
        <f t="shared" si="19"/>
        <v>3871.5000000000073</v>
      </c>
      <c r="I146" s="18">
        <f t="shared" si="20"/>
        <v>48561.80000000001</v>
      </c>
      <c r="K146" s="46"/>
      <c r="L146" s="102"/>
    </row>
    <row r="147" spans="1:12" ht="18.75">
      <c r="A147" s="23" t="s">
        <v>1</v>
      </c>
      <c r="B147" s="67">
        <f>B22+B10+B54+B48+B60+B35+B102+B122</f>
        <v>11839.8</v>
      </c>
      <c r="C147" s="67">
        <f>C22+C10+C54+C48+C60+C35+C102+C122</f>
        <v>25986.7</v>
      </c>
      <c r="D147" s="67">
        <f>D22+D10+D54+D48+D60+D35+D102+D122</f>
        <v>9704.9</v>
      </c>
      <c r="E147" s="6">
        <f>D147/D144*100</f>
        <v>2.328058904215401</v>
      </c>
      <c r="F147" s="6">
        <f t="shared" si="21"/>
        <v>81.96844541292927</v>
      </c>
      <c r="G147" s="6">
        <f t="shared" si="18"/>
        <v>37.345642193891486</v>
      </c>
      <c r="H147" s="6">
        <f t="shared" si="19"/>
        <v>2134.8999999999996</v>
      </c>
      <c r="I147" s="18">
        <f t="shared" si="20"/>
        <v>16281.800000000001</v>
      </c>
      <c r="K147" s="46"/>
      <c r="L147" s="47"/>
    </row>
    <row r="148" spans="1:12" ht="21" customHeight="1">
      <c r="A148" s="23" t="s">
        <v>15</v>
      </c>
      <c r="B148" s="67">
        <f>B12+B24+B103+B62+B38+B92</f>
        <v>7102.3</v>
      </c>
      <c r="C148" s="67">
        <f>C12+C24+C103+C62+C38+C92</f>
        <v>14593.8</v>
      </c>
      <c r="D148" s="67">
        <f>D12+D24+D103+D62+D38+D92</f>
        <v>3131.7</v>
      </c>
      <c r="E148" s="6">
        <f>D148/D144*100</f>
        <v>0.7512475213893365</v>
      </c>
      <c r="F148" s="6">
        <f t="shared" si="21"/>
        <v>44.09416667839995</v>
      </c>
      <c r="G148" s="6">
        <f t="shared" si="18"/>
        <v>21.459112773917692</v>
      </c>
      <c r="H148" s="6">
        <f t="shared" si="19"/>
        <v>3970.6000000000004</v>
      </c>
      <c r="I148" s="18">
        <f t="shared" si="20"/>
        <v>11462.099999999999</v>
      </c>
      <c r="K148" s="46"/>
      <c r="L148" s="102"/>
    </row>
    <row r="149" spans="1:12" ht="18.75">
      <c r="A149" s="23" t="s">
        <v>2</v>
      </c>
      <c r="B149" s="67">
        <f>B9+B21+B47+B53+B121</f>
        <v>5078.9</v>
      </c>
      <c r="C149" s="67">
        <f>C9+C21+C47+C53+C121</f>
        <v>12618.400000000001</v>
      </c>
      <c r="D149" s="67">
        <f>D9+D21+D47+D53+D121</f>
        <v>3291.9999999999995</v>
      </c>
      <c r="E149" s="6">
        <f>D149/D144*100</f>
        <v>0.7897010698386485</v>
      </c>
      <c r="F149" s="6">
        <f t="shared" si="21"/>
        <v>64.81718482348539</v>
      </c>
      <c r="G149" s="6">
        <f t="shared" si="18"/>
        <v>26.08888607113421</v>
      </c>
      <c r="H149" s="6">
        <f t="shared" si="19"/>
        <v>1786.9</v>
      </c>
      <c r="I149" s="18">
        <f t="shared" si="20"/>
        <v>9326.400000000001</v>
      </c>
      <c r="K149" s="46"/>
      <c r="L149" s="47"/>
    </row>
    <row r="150" spans="1:12" ht="19.5" thickBot="1">
      <c r="A150" s="23" t="s">
        <v>35</v>
      </c>
      <c r="B150" s="67">
        <f>B144-B145-B146-B147-B148-B149</f>
        <v>120386.90000000013</v>
      </c>
      <c r="C150" s="67">
        <f>C144-C145-C146-C147-C148-C149</f>
        <v>236317.4</v>
      </c>
      <c r="D150" s="67">
        <f>D144-D145-D146-D147-D148-D149</f>
        <v>104960.20000000006</v>
      </c>
      <c r="E150" s="6">
        <f>D150/D144*100</f>
        <v>25.178366412660562</v>
      </c>
      <c r="F150" s="6">
        <f t="shared" si="21"/>
        <v>87.1857320024022</v>
      </c>
      <c r="G150" s="43">
        <f t="shared" si="18"/>
        <v>44.41492670450845</v>
      </c>
      <c r="H150" s="6">
        <f t="shared" si="19"/>
        <v>15426.70000000007</v>
      </c>
      <c r="I150" s="6">
        <f t="shared" si="20"/>
        <v>131357.19999999995</v>
      </c>
      <c r="K150" s="46"/>
      <c r="L150" s="102"/>
    </row>
    <row r="151" spans="1:12" ht="5.25" customHeight="1" thickBot="1">
      <c r="A151" s="35"/>
      <c r="B151" s="85"/>
      <c r="C151" s="86"/>
      <c r="D151" s="86"/>
      <c r="E151" s="21"/>
      <c r="F151" s="21"/>
      <c r="G151" s="21"/>
      <c r="H151" s="21"/>
      <c r="I151" s="22"/>
      <c r="K151" s="46"/>
      <c r="L151" s="46"/>
    </row>
    <row r="152" spans="1:12" ht="18.75">
      <c r="A152" s="32" t="s">
        <v>21</v>
      </c>
      <c r="B152" s="87">
        <f>9182.9-120</f>
        <v>9062.9</v>
      </c>
      <c r="C152" s="73">
        <f>3301.9+496+14356.4</f>
        <v>18154.3</v>
      </c>
      <c r="D152" s="73">
        <f>288.1+1522.4+951.8+530.2+8.8+0.5+0.1+495.9+10.6+101</f>
        <v>3909.4</v>
      </c>
      <c r="E152" s="15"/>
      <c r="F152" s="6">
        <f t="shared" si="21"/>
        <v>43.13630294938706</v>
      </c>
      <c r="G152" s="6">
        <f aca="true" t="shared" si="22" ref="G152:G161">D152/C152*100</f>
        <v>21.534292151170796</v>
      </c>
      <c r="H152" s="6">
        <f>B152-D152</f>
        <v>5153.5</v>
      </c>
      <c r="I152" s="6">
        <f aca="true" t="shared" si="23" ref="I152:I161">C152-D152</f>
        <v>14244.9</v>
      </c>
      <c r="K152" s="46"/>
      <c r="L152" s="46"/>
    </row>
    <row r="153" spans="1:12" ht="18.75">
      <c r="A153" s="23" t="s">
        <v>22</v>
      </c>
      <c r="B153" s="88">
        <f>6661.8+248.2+200</f>
        <v>7110</v>
      </c>
      <c r="C153" s="67">
        <f>16860.5</f>
        <v>16860.5</v>
      </c>
      <c r="D153" s="67">
        <f>132.1+649.5+498.6</f>
        <v>1280.2</v>
      </c>
      <c r="E153" s="6"/>
      <c r="F153" s="6">
        <f t="shared" si="21"/>
        <v>18.005625879043603</v>
      </c>
      <c r="G153" s="6">
        <f t="shared" si="22"/>
        <v>7.59289463539041</v>
      </c>
      <c r="H153" s="6">
        <f aca="true" t="shared" si="24" ref="H153:H160">B153-D153</f>
        <v>5829.8</v>
      </c>
      <c r="I153" s="6">
        <f t="shared" si="23"/>
        <v>15580.3</v>
      </c>
      <c r="K153" s="46"/>
      <c r="L153" s="46"/>
    </row>
    <row r="154" spans="1:12" ht="18.75">
      <c r="A154" s="23" t="s">
        <v>61</v>
      </c>
      <c r="B154" s="88">
        <f>73330-128.2-200</f>
        <v>73001.8</v>
      </c>
      <c r="C154" s="67">
        <f>105956.2+2530+90940.5</f>
        <v>199426.7</v>
      </c>
      <c r="D154" s="67">
        <f>72+2507+500.9+784.3+577.6+1236.9+2501.8+375+180.7+310.2-4.2+554.9+23.5+182.4+693.6-182.4+595+297.2+620.2+157.1-0.3+15.6+883.3+9.6+10.4+12-13.2+225+914.2+6</f>
        <v>14046.300000000003</v>
      </c>
      <c r="E154" s="6"/>
      <c r="F154" s="6">
        <f t="shared" si="21"/>
        <v>19.24103241289941</v>
      </c>
      <c r="G154" s="6">
        <f t="shared" si="22"/>
        <v>7.043339733345637</v>
      </c>
      <c r="H154" s="6">
        <f t="shared" si="24"/>
        <v>58955.5</v>
      </c>
      <c r="I154" s="6">
        <f t="shared" si="23"/>
        <v>185380.40000000002</v>
      </c>
      <c r="K154" s="46"/>
      <c r="L154" s="46"/>
    </row>
    <row r="155" spans="1:12" ht="37.5">
      <c r="A155" s="23" t="s">
        <v>70</v>
      </c>
      <c r="B155" s="88">
        <v>309.4</v>
      </c>
      <c r="C155" s="67">
        <v>509.4</v>
      </c>
      <c r="D155" s="67">
        <f>309.4</f>
        <v>309.4</v>
      </c>
      <c r="E155" s="6"/>
      <c r="F155" s="6">
        <f t="shared" si="21"/>
        <v>100</v>
      </c>
      <c r="G155" s="6">
        <f t="shared" si="22"/>
        <v>60.73812328229289</v>
      </c>
      <c r="H155" s="6">
        <f t="shared" si="24"/>
        <v>0</v>
      </c>
      <c r="I155" s="6">
        <f t="shared" si="23"/>
        <v>200</v>
      </c>
      <c r="K155" s="46"/>
      <c r="L155" s="46"/>
    </row>
    <row r="156" spans="1:12" ht="18.75">
      <c r="A156" s="23" t="s">
        <v>13</v>
      </c>
      <c r="B156" s="88">
        <v>2417.4</v>
      </c>
      <c r="C156" s="67">
        <f>54+13623.4</f>
        <v>13677.4</v>
      </c>
      <c r="D156" s="67">
        <f>5.2+5.1+225.1+114.9+40.2+5.2</f>
        <v>395.7</v>
      </c>
      <c r="E156" s="19"/>
      <c r="F156" s="6">
        <f t="shared" si="21"/>
        <v>16.368826011417223</v>
      </c>
      <c r="G156" s="6">
        <f t="shared" si="22"/>
        <v>2.893093716642052</v>
      </c>
      <c r="H156" s="6">
        <f t="shared" si="24"/>
        <v>2021.7</v>
      </c>
      <c r="I156" s="6">
        <f t="shared" si="23"/>
        <v>13281.699999999999</v>
      </c>
      <c r="K156" s="46"/>
      <c r="L156" s="46"/>
    </row>
    <row r="157" spans="1:12" ht="18.75" hidden="1">
      <c r="A157" s="23" t="s">
        <v>26</v>
      </c>
      <c r="B157" s="88"/>
      <c r="C157" s="67"/>
      <c r="D157" s="67"/>
      <c r="E157" s="19"/>
      <c r="F157" s="6" t="e">
        <f>D157/B157*100</f>
        <v>#DIV/0!</v>
      </c>
      <c r="G157" s="6" t="e">
        <f t="shared" si="22"/>
        <v>#DIV/0!</v>
      </c>
      <c r="H157" s="6">
        <f t="shared" si="24"/>
        <v>0</v>
      </c>
      <c r="I157" s="6">
        <f t="shared" si="23"/>
        <v>0</v>
      </c>
      <c r="K157" s="46"/>
      <c r="L157" s="46"/>
    </row>
    <row r="158" spans="1:9" ht="18.75">
      <c r="A158" s="23" t="s">
        <v>53</v>
      </c>
      <c r="B158" s="88">
        <v>593.6</v>
      </c>
      <c r="C158" s="67">
        <f>1212+158.6</f>
        <v>1370.6</v>
      </c>
      <c r="D158" s="67">
        <f>15.4+25.9+416.9-0.1</f>
        <v>458.09999999999997</v>
      </c>
      <c r="E158" s="19"/>
      <c r="F158" s="6">
        <f>D158/B158*100</f>
        <v>77.17318059299191</v>
      </c>
      <c r="G158" s="6">
        <f t="shared" si="22"/>
        <v>33.42331825477893</v>
      </c>
      <c r="H158" s="6">
        <f t="shared" si="24"/>
        <v>135.50000000000006</v>
      </c>
      <c r="I158" s="6">
        <f t="shared" si="23"/>
        <v>912.5</v>
      </c>
    </row>
    <row r="159" spans="1:9" ht="19.5" customHeight="1">
      <c r="A159" s="23" t="s">
        <v>68</v>
      </c>
      <c r="B159" s="88">
        <v>307.6</v>
      </c>
      <c r="C159" s="67">
        <v>307.6</v>
      </c>
      <c r="D159" s="67"/>
      <c r="E159" s="19"/>
      <c r="F159" s="6">
        <f>D159/B159*100</f>
        <v>0</v>
      </c>
      <c r="G159" s="6">
        <f t="shared" si="22"/>
        <v>0</v>
      </c>
      <c r="H159" s="6">
        <f t="shared" si="24"/>
        <v>307.6</v>
      </c>
      <c r="I159" s="6">
        <f t="shared" si="23"/>
        <v>307.6</v>
      </c>
    </row>
    <row r="160" spans="1:9" ht="19.5" thickBot="1">
      <c r="A160" s="23" t="s">
        <v>62</v>
      </c>
      <c r="B160" s="88">
        <v>3718.8</v>
      </c>
      <c r="C160" s="89">
        <v>3718.8</v>
      </c>
      <c r="D160" s="89">
        <f>98.8+11.3+146.1+110.9-0.1+10.1+85.3+20.5+418</f>
        <v>900.9000000000001</v>
      </c>
      <c r="E160" s="24"/>
      <c r="F160" s="6">
        <f>D160/B160*100</f>
        <v>24.225556631171347</v>
      </c>
      <c r="G160" s="6">
        <f t="shared" si="22"/>
        <v>24.225556631171347</v>
      </c>
      <c r="H160" s="6">
        <f t="shared" si="24"/>
        <v>2817.9</v>
      </c>
      <c r="I160" s="6">
        <f t="shared" si="23"/>
        <v>2817.9</v>
      </c>
    </row>
    <row r="161" spans="1:9" ht="19.5" thickBot="1">
      <c r="A161" s="14" t="s">
        <v>20</v>
      </c>
      <c r="B161" s="90">
        <f>B144+B152+B156+B157+B153+B160+B159+B154+B158+B155</f>
        <v>568514.8</v>
      </c>
      <c r="C161" s="90">
        <f>C144+C152+C156+C157+C153+C160+C159+C154+C158+C155</f>
        <v>1150207.9000000001</v>
      </c>
      <c r="D161" s="90">
        <f>D144+D152+D156+D157+D153+D160+D159+D154+D158+D155</f>
        <v>438166.60000000003</v>
      </c>
      <c r="E161" s="25"/>
      <c r="F161" s="3">
        <f>D161/B161*100</f>
        <v>77.07215361851617</v>
      </c>
      <c r="G161" s="3">
        <f t="shared" si="22"/>
        <v>38.09455664493349</v>
      </c>
      <c r="H161" s="3">
        <f>B161-D161</f>
        <v>130348.20000000001</v>
      </c>
      <c r="I161" s="3">
        <f t="shared" si="23"/>
        <v>712041.3</v>
      </c>
    </row>
    <row r="162" spans="7:8" ht="12.75">
      <c r="G162" s="26"/>
      <c r="H162" s="26"/>
    </row>
    <row r="163" spans="7:9" ht="12.75">
      <c r="G163" s="26"/>
      <c r="H163" s="26"/>
      <c r="I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896182.6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416866.6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0" sqref="S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9" sqref="R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3" sqref="R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20" sqref="R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8" sqref="Q18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896182.6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416866.6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2015-05-29T12:31:40Z</cp:lastPrinted>
  <dcterms:created xsi:type="dcterms:W3CDTF">2000-06-20T04:48:00Z</dcterms:created>
  <dcterms:modified xsi:type="dcterms:W3CDTF">2015-06-15T05:11:31Z</dcterms:modified>
  <cp:category/>
  <cp:version/>
  <cp:contentType/>
  <cp:contentStatus/>
</cp:coreProperties>
</file>